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filterPrivacy="1" autoCompressPictures="0"/>
  <xr:revisionPtr revIDLastSave="0" documentId="13_ncr:1_{E489519D-916E-7940-B71D-10120BE4DE25}" xr6:coauthVersionLast="47" xr6:coauthVersionMax="47" xr10:uidLastSave="{00000000-0000-0000-0000-000000000000}"/>
  <bookViews>
    <workbookView xWindow="0" yWindow="0" windowWidth="25600" windowHeight="16000" xr2:uid="{00000000-000D-0000-FFFF-FFFF00000000}"/>
  </bookViews>
  <sheets>
    <sheet name="ปฏิทินครอบครัวตามฤดูกาล" sheetId="6" r:id="rId1"/>
  </sheets>
  <definedNames>
    <definedName name="AprSun1">DATE(CalendarYear,4,1)-WEEKDAY(DATE(CalendarYear,4,1))+1</definedName>
    <definedName name="AugSun1">DATE(CalendarYear,8,1)-WEEKDAY(DATE(CalendarYear,8,1))+1</definedName>
    <definedName name="CalendarYear">ปฏิทินครอบครัวตามฤดูกาล!$L$2-543</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ปฏิทินครอบครัวตามฤดูกาล!$A$1:$Q$382</definedName>
    <definedName name="SepSun1">DATE(CalendarYear,9,1)-WEEKDAY(DATE(CalendarYear,9,1))+1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33" i="6" l="1"/>
  <c r="D333" i="6"/>
  <c r="F333" i="6"/>
  <c r="H333" i="6"/>
  <c r="J333" i="6"/>
  <c r="L333" i="6"/>
  <c r="N333" i="6"/>
  <c r="J111" i="6"/>
  <c r="L130" i="6"/>
  <c r="L161" i="6"/>
  <c r="L192" i="6"/>
  <c r="L224" i="6"/>
  <c r="L256" i="6"/>
  <c r="L288" i="6"/>
  <c r="L320" i="6"/>
  <c r="L352" i="6"/>
  <c r="L98" i="6"/>
  <c r="L65" i="6"/>
  <c r="L34" i="6"/>
  <c r="A352" i="6" l="1"/>
  <c r="A320" i="6"/>
  <c r="A288" i="6"/>
  <c r="A256" i="6"/>
  <c r="A224" i="6"/>
  <c r="A192" i="6"/>
  <c r="A161" i="6"/>
  <c r="A130" i="6"/>
  <c r="A98" i="6"/>
  <c r="A65" i="6"/>
  <c r="A34" i="6"/>
  <c r="A2" i="6"/>
  <c r="N380" i="6" l="1"/>
  <c r="L380" i="6"/>
  <c r="J380" i="6"/>
  <c r="H380" i="6"/>
  <c r="F380" i="6"/>
  <c r="D380" i="6"/>
  <c r="B380" i="6"/>
  <c r="N377" i="6"/>
  <c r="L377" i="6"/>
  <c r="J377" i="6"/>
  <c r="H377" i="6"/>
  <c r="F377" i="6"/>
  <c r="D377" i="6"/>
  <c r="B377" i="6"/>
  <c r="N374" i="6"/>
  <c r="L374" i="6"/>
  <c r="J374" i="6"/>
  <c r="H374" i="6"/>
  <c r="F374" i="6"/>
  <c r="D374" i="6"/>
  <c r="B374" i="6"/>
  <c r="N371" i="6"/>
  <c r="L371" i="6"/>
  <c r="J371" i="6"/>
  <c r="H371" i="6"/>
  <c r="F371" i="6"/>
  <c r="D371" i="6"/>
  <c r="B371" i="6"/>
  <c r="N368" i="6"/>
  <c r="L368" i="6"/>
  <c r="J368" i="6"/>
  <c r="H368" i="6"/>
  <c r="F368" i="6"/>
  <c r="D368" i="6"/>
  <c r="B368" i="6"/>
  <c r="N365" i="6"/>
  <c r="L365" i="6"/>
  <c r="J365" i="6"/>
  <c r="H365" i="6"/>
  <c r="F365" i="6"/>
  <c r="D365" i="6"/>
  <c r="B365" i="6"/>
  <c r="N348" i="6"/>
  <c r="L348" i="6"/>
  <c r="J348" i="6"/>
  <c r="H348" i="6"/>
  <c r="F348" i="6"/>
  <c r="D348" i="6"/>
  <c r="B348" i="6"/>
  <c r="N345" i="6"/>
  <c r="L345" i="6"/>
  <c r="J345" i="6"/>
  <c r="H345" i="6"/>
  <c r="F345" i="6"/>
  <c r="D345" i="6"/>
  <c r="B345" i="6"/>
  <c r="N342" i="6"/>
  <c r="L342" i="6"/>
  <c r="J342" i="6"/>
  <c r="H342" i="6"/>
  <c r="F342" i="6"/>
  <c r="D342" i="6"/>
  <c r="B342" i="6"/>
  <c r="N339" i="6"/>
  <c r="L339" i="6"/>
  <c r="J339" i="6"/>
  <c r="H339" i="6"/>
  <c r="F339" i="6"/>
  <c r="D339" i="6"/>
  <c r="B339" i="6"/>
  <c r="N336" i="6"/>
  <c r="L336" i="6"/>
  <c r="J336" i="6"/>
  <c r="H336" i="6"/>
  <c r="F336" i="6"/>
  <c r="D336" i="6"/>
  <c r="B336" i="6"/>
  <c r="N284" i="6"/>
  <c r="L284" i="6"/>
  <c r="J284" i="6"/>
  <c r="H284" i="6"/>
  <c r="F284" i="6"/>
  <c r="D284" i="6"/>
  <c r="B284" i="6"/>
  <c r="N281" i="6"/>
  <c r="L281" i="6"/>
  <c r="J281" i="6"/>
  <c r="H281" i="6"/>
  <c r="F281" i="6"/>
  <c r="D281" i="6"/>
  <c r="B281" i="6"/>
  <c r="N278" i="6"/>
  <c r="L278" i="6"/>
  <c r="J278" i="6"/>
  <c r="H278" i="6"/>
  <c r="F278" i="6"/>
  <c r="D278" i="6"/>
  <c r="B278" i="6"/>
  <c r="N275" i="6"/>
  <c r="L275" i="6"/>
  <c r="J275" i="6"/>
  <c r="H275" i="6"/>
  <c r="F275" i="6"/>
  <c r="D275" i="6"/>
  <c r="B275" i="6"/>
  <c r="N272" i="6"/>
  <c r="L272" i="6"/>
  <c r="J272" i="6"/>
  <c r="H272" i="6"/>
  <c r="F272" i="6"/>
  <c r="D272" i="6"/>
  <c r="B272" i="6"/>
  <c r="N269" i="6"/>
  <c r="L269" i="6"/>
  <c r="J269" i="6"/>
  <c r="H269" i="6"/>
  <c r="F269" i="6"/>
  <c r="D269" i="6"/>
  <c r="B269" i="6"/>
  <c r="N316" i="6"/>
  <c r="L316" i="6"/>
  <c r="J316" i="6"/>
  <c r="H316" i="6"/>
  <c r="F316" i="6"/>
  <c r="D316" i="6"/>
  <c r="B316" i="6"/>
  <c r="N313" i="6"/>
  <c r="L313" i="6"/>
  <c r="J313" i="6"/>
  <c r="H313" i="6"/>
  <c r="F313" i="6"/>
  <c r="D313" i="6"/>
  <c r="B313" i="6"/>
  <c r="N310" i="6"/>
  <c r="L310" i="6"/>
  <c r="J310" i="6"/>
  <c r="H310" i="6"/>
  <c r="F310" i="6"/>
  <c r="D310" i="6"/>
  <c r="B310" i="6"/>
  <c r="N307" i="6"/>
  <c r="L307" i="6"/>
  <c r="J307" i="6"/>
  <c r="H307" i="6"/>
  <c r="F307" i="6"/>
  <c r="D307" i="6"/>
  <c r="B307" i="6"/>
  <c r="N304" i="6"/>
  <c r="L304" i="6"/>
  <c r="J304" i="6"/>
  <c r="H304" i="6"/>
  <c r="F304" i="6"/>
  <c r="D304" i="6"/>
  <c r="B304" i="6"/>
  <c r="N301" i="6"/>
  <c r="L301" i="6"/>
  <c r="J301" i="6"/>
  <c r="H301" i="6"/>
  <c r="F301" i="6"/>
  <c r="D301" i="6"/>
  <c r="B301" i="6"/>
  <c r="N252" i="6"/>
  <c r="L252" i="6"/>
  <c r="J252" i="6"/>
  <c r="H252" i="6"/>
  <c r="F252" i="6"/>
  <c r="D252" i="6"/>
  <c r="B252" i="6"/>
  <c r="N249" i="6"/>
  <c r="L249" i="6"/>
  <c r="J249" i="6"/>
  <c r="H249" i="6"/>
  <c r="F249" i="6"/>
  <c r="D249" i="6"/>
  <c r="B249" i="6"/>
  <c r="N246" i="6"/>
  <c r="L246" i="6"/>
  <c r="J246" i="6"/>
  <c r="H246" i="6"/>
  <c r="F246" i="6"/>
  <c r="D246" i="6"/>
  <c r="B246" i="6"/>
  <c r="N243" i="6"/>
  <c r="L243" i="6"/>
  <c r="J243" i="6"/>
  <c r="H243" i="6"/>
  <c r="F243" i="6"/>
  <c r="D243" i="6"/>
  <c r="B243" i="6"/>
  <c r="N240" i="6"/>
  <c r="L240" i="6"/>
  <c r="J240" i="6"/>
  <c r="H240" i="6"/>
  <c r="F240" i="6"/>
  <c r="D240" i="6"/>
  <c r="B240" i="6"/>
  <c r="N237" i="6"/>
  <c r="L237" i="6"/>
  <c r="J237" i="6"/>
  <c r="H237" i="6"/>
  <c r="F237" i="6"/>
  <c r="D237" i="6"/>
  <c r="B237" i="6"/>
  <c r="N220" i="6"/>
  <c r="L220" i="6"/>
  <c r="J220" i="6"/>
  <c r="H220" i="6"/>
  <c r="F220" i="6"/>
  <c r="D220" i="6"/>
  <c r="B220" i="6"/>
  <c r="N217" i="6"/>
  <c r="L217" i="6"/>
  <c r="J217" i="6"/>
  <c r="H217" i="6"/>
  <c r="F217" i="6"/>
  <c r="D217" i="6"/>
  <c r="B217" i="6"/>
  <c r="N214" i="6"/>
  <c r="L214" i="6"/>
  <c r="J214" i="6"/>
  <c r="H214" i="6"/>
  <c r="F214" i="6"/>
  <c r="D214" i="6"/>
  <c r="B214" i="6"/>
  <c r="N211" i="6"/>
  <c r="L211" i="6"/>
  <c r="J211" i="6"/>
  <c r="H211" i="6"/>
  <c r="F211" i="6"/>
  <c r="D211" i="6"/>
  <c r="B211" i="6"/>
  <c r="N208" i="6"/>
  <c r="L208" i="6"/>
  <c r="J208" i="6"/>
  <c r="H208" i="6"/>
  <c r="F208" i="6"/>
  <c r="D208" i="6"/>
  <c r="B208" i="6"/>
  <c r="N205" i="6"/>
  <c r="L205" i="6"/>
  <c r="J205" i="6"/>
  <c r="H205" i="6"/>
  <c r="F205" i="6"/>
  <c r="D205" i="6"/>
  <c r="B205" i="6"/>
  <c r="N188" i="6"/>
  <c r="L188" i="6"/>
  <c r="J188" i="6"/>
  <c r="H188" i="6"/>
  <c r="F188" i="6"/>
  <c r="D188" i="6"/>
  <c r="B188" i="6"/>
  <c r="N185" i="6"/>
  <c r="L185" i="6"/>
  <c r="J185" i="6"/>
  <c r="H185" i="6"/>
  <c r="F185" i="6"/>
  <c r="D185" i="6"/>
  <c r="B185" i="6"/>
  <c r="N182" i="6"/>
  <c r="L182" i="6"/>
  <c r="J182" i="6"/>
  <c r="H182" i="6"/>
  <c r="F182" i="6"/>
  <c r="D182" i="6"/>
  <c r="B182" i="6"/>
  <c r="N180" i="6"/>
  <c r="L180" i="6"/>
  <c r="J180" i="6"/>
  <c r="H180" i="6"/>
  <c r="F180" i="6"/>
  <c r="D180" i="6"/>
  <c r="B180" i="6"/>
  <c r="N177" i="6"/>
  <c r="L177" i="6"/>
  <c r="J177" i="6"/>
  <c r="H177" i="6"/>
  <c r="F177" i="6"/>
  <c r="D177" i="6"/>
  <c r="B177" i="6"/>
  <c r="N174" i="6"/>
  <c r="L174" i="6"/>
  <c r="J174" i="6"/>
  <c r="H174" i="6"/>
  <c r="F174" i="6"/>
  <c r="D174" i="6"/>
  <c r="B174" i="6"/>
  <c r="N157" i="6"/>
  <c r="L157" i="6"/>
  <c r="J157" i="6"/>
  <c r="H157" i="6"/>
  <c r="F157" i="6"/>
  <c r="D157" i="6"/>
  <c r="B157" i="6"/>
  <c r="N154" i="6"/>
  <c r="L154" i="6"/>
  <c r="J154" i="6"/>
  <c r="H154" i="6"/>
  <c r="F154" i="6"/>
  <c r="D154" i="6"/>
  <c r="B154" i="6"/>
  <c r="N151" i="6"/>
  <c r="L151" i="6"/>
  <c r="J151" i="6"/>
  <c r="H151" i="6"/>
  <c r="F151" i="6"/>
  <c r="D151" i="6"/>
  <c r="B151" i="6"/>
  <c r="N148" i="6"/>
  <c r="L148" i="6"/>
  <c r="J148" i="6"/>
  <c r="H148" i="6"/>
  <c r="F148" i="6"/>
  <c r="D148" i="6"/>
  <c r="B148" i="6"/>
  <c r="N145" i="6"/>
  <c r="L145" i="6"/>
  <c r="J145" i="6"/>
  <c r="H145" i="6"/>
  <c r="F145" i="6"/>
  <c r="D145" i="6"/>
  <c r="B145" i="6"/>
  <c r="N142" i="6"/>
  <c r="L142" i="6"/>
  <c r="J142" i="6"/>
  <c r="H142" i="6"/>
  <c r="F142" i="6"/>
  <c r="D142" i="6"/>
  <c r="B142" i="6"/>
  <c r="N126" i="6"/>
  <c r="L126" i="6"/>
  <c r="J126" i="6"/>
  <c r="H126" i="6"/>
  <c r="F126" i="6"/>
  <c r="D126" i="6"/>
  <c r="B126" i="6"/>
  <c r="N123" i="6"/>
  <c r="L123" i="6"/>
  <c r="J123" i="6"/>
  <c r="H123" i="6"/>
  <c r="F123" i="6"/>
  <c r="D123" i="6"/>
  <c r="B123" i="6"/>
  <c r="N120" i="6"/>
  <c r="L120" i="6"/>
  <c r="J120" i="6"/>
  <c r="H120" i="6"/>
  <c r="F120" i="6"/>
  <c r="D120" i="6"/>
  <c r="B120" i="6"/>
  <c r="N117" i="6"/>
  <c r="L117" i="6"/>
  <c r="J117" i="6"/>
  <c r="H117" i="6"/>
  <c r="F117" i="6"/>
  <c r="D117" i="6"/>
  <c r="B117" i="6"/>
  <c r="N114" i="6"/>
  <c r="L114" i="6"/>
  <c r="J114" i="6"/>
  <c r="H114" i="6"/>
  <c r="F114" i="6"/>
  <c r="D114" i="6"/>
  <c r="B114" i="6"/>
  <c r="N111" i="6"/>
  <c r="L111" i="6"/>
  <c r="H111" i="6"/>
  <c r="F111" i="6"/>
  <c r="D111" i="6"/>
  <c r="B111" i="6"/>
  <c r="N94" i="6"/>
  <c r="L94" i="6"/>
  <c r="J94" i="6"/>
  <c r="H94" i="6"/>
  <c r="F94" i="6"/>
  <c r="D94" i="6"/>
  <c r="B94" i="6"/>
  <c r="N91" i="6"/>
  <c r="L91" i="6"/>
  <c r="J91" i="6"/>
  <c r="H91" i="6"/>
  <c r="F91" i="6"/>
  <c r="D91" i="6"/>
  <c r="B91" i="6"/>
  <c r="N88" i="6"/>
  <c r="L88" i="6"/>
  <c r="J88" i="6"/>
  <c r="H88" i="6"/>
  <c r="F88" i="6"/>
  <c r="D88" i="6"/>
  <c r="B88" i="6"/>
  <c r="N85" i="6"/>
  <c r="L85" i="6"/>
  <c r="J85" i="6"/>
  <c r="H85" i="6"/>
  <c r="F85" i="6"/>
  <c r="D85" i="6"/>
  <c r="B85" i="6"/>
  <c r="N82" i="6"/>
  <c r="L82" i="6"/>
  <c r="J82" i="6"/>
  <c r="H82" i="6"/>
  <c r="F82" i="6"/>
  <c r="D82" i="6"/>
  <c r="B82" i="6"/>
  <c r="N79" i="6"/>
  <c r="L79" i="6"/>
  <c r="J79" i="6"/>
  <c r="H79" i="6"/>
  <c r="F79" i="6"/>
  <c r="D79" i="6"/>
  <c r="B79" i="6"/>
  <c r="N61" i="6"/>
  <c r="L61" i="6"/>
  <c r="J61" i="6"/>
  <c r="H61" i="6"/>
  <c r="F61" i="6"/>
  <c r="D61" i="6"/>
  <c r="B61" i="6"/>
  <c r="N58" i="6"/>
  <c r="L58" i="6"/>
  <c r="J58" i="6"/>
  <c r="H58" i="6"/>
  <c r="F58" i="6"/>
  <c r="D58" i="6"/>
  <c r="B58" i="6"/>
  <c r="N55" i="6"/>
  <c r="L55" i="6"/>
  <c r="J55" i="6"/>
  <c r="H55" i="6"/>
  <c r="F55" i="6"/>
  <c r="D55" i="6"/>
  <c r="B55" i="6"/>
  <c r="N52" i="6"/>
  <c r="L52" i="6"/>
  <c r="J52" i="6"/>
  <c r="H52" i="6"/>
  <c r="F52" i="6"/>
  <c r="D52" i="6"/>
  <c r="B52" i="6"/>
  <c r="N49" i="6"/>
  <c r="L49" i="6"/>
  <c r="J49" i="6"/>
  <c r="H49" i="6"/>
  <c r="F49" i="6"/>
  <c r="D49" i="6"/>
  <c r="B49" i="6"/>
  <c r="N46" i="6"/>
  <c r="L46" i="6"/>
  <c r="J46" i="6"/>
  <c r="H46" i="6"/>
  <c r="F46" i="6"/>
  <c r="D46" i="6"/>
  <c r="B46" i="6"/>
  <c r="N30" i="6" l="1"/>
  <c r="L30" i="6"/>
  <c r="J30" i="6"/>
  <c r="H30" i="6"/>
  <c r="F30" i="6"/>
  <c r="D30" i="6"/>
  <c r="B30" i="6"/>
  <c r="N27" i="6"/>
  <c r="L27" i="6"/>
  <c r="J27" i="6"/>
  <c r="H27" i="6"/>
  <c r="F27" i="6"/>
  <c r="D27" i="6"/>
  <c r="B27" i="6"/>
  <c r="N24" i="6"/>
  <c r="L24" i="6"/>
  <c r="J24" i="6"/>
  <c r="H24" i="6"/>
  <c r="F24" i="6"/>
  <c r="D24" i="6"/>
  <c r="B24" i="6"/>
  <c r="N21" i="6"/>
  <c r="L21" i="6"/>
  <c r="J21" i="6"/>
  <c r="H21" i="6"/>
  <c r="F21" i="6"/>
  <c r="D21" i="6"/>
  <c r="B21" i="6"/>
  <c r="N18" i="6"/>
  <c r="L18" i="6"/>
  <c r="J18" i="6"/>
  <c r="H18" i="6"/>
  <c r="F18" i="6"/>
  <c r="D18" i="6"/>
  <c r="B18" i="6"/>
  <c r="N15" i="6"/>
  <c r="L15" i="6"/>
  <c r="J15" i="6"/>
  <c r="H15" i="6"/>
  <c r="F15" i="6"/>
  <c r="D15" i="6"/>
  <c r="B15" i="6"/>
</calcChain>
</file>

<file path=xl/sharedStrings.xml><?xml version="1.0" encoding="utf-8"?>
<sst xmlns="http://schemas.openxmlformats.org/spreadsheetml/2006/main" count="219" uniqueCount="138">
  <si>
    <t>อาทิตย์</t>
  </si>
  <si>
    <t>เสาร์</t>
  </si>
  <si>
    <t>ศุกร์</t>
  </si>
  <si>
    <t>พฤหัสบดี</t>
  </si>
  <si>
    <t>พุธ</t>
  </si>
  <si>
    <t>อังคาร</t>
  </si>
  <si>
    <t>จันทร์</t>
  </si>
  <si>
    <t>วันอนุรักษ์ทรัพยากรป่าไม้ของชาติ</t>
  </si>
  <si>
    <t>วันครูแห่งชาติ</t>
  </si>
  <si>
    <t>วันพ่อขุนรามฯ
วันโคนมแห่งชาติ</t>
  </si>
  <si>
    <r>
      <t>วั</t>
    </r>
    <r>
      <rPr>
        <sz val="9"/>
        <color rgb="FFFF0000"/>
        <rFont val="Leelawadee"/>
      </rPr>
      <t>นยุทธหัตถี
วันกองทัพไทย
วันกองทัพบก
วันสมเด็จพระนเรศวรมหาราช</t>
    </r>
  </si>
  <si>
    <t>ปีใหม่</t>
  </si>
  <si>
    <t>วันหยุดชดเชยวันขึ้นปีใหม่</t>
  </si>
  <si>
    <t>วันตรุษจีน</t>
  </si>
  <si>
    <t>วันพื้นที่ชุ่มน้ำโลก
วันนักประดิษฐ์
วันเกษตรแห่งชาติ</t>
  </si>
  <si>
    <t>วันทหารผ่านศึก</t>
  </si>
  <si>
    <t>วันมะเร็งโลก</t>
  </si>
  <si>
    <t>วันอาสารักษาดินแดน</t>
  </si>
  <si>
    <t>วันรักนกเงือก</t>
  </si>
  <si>
    <t>วันวาเลนไทน์</t>
  </si>
  <si>
    <t>วันมาฆบูชา</t>
  </si>
  <si>
    <t>วันศิลปินแห่งชาติ</t>
  </si>
  <si>
    <t>วันวิทยุกระจายเสียงแห่งชาติ</t>
  </si>
  <si>
    <t>วันสหกรณ์แห่งชาติ</t>
  </si>
  <si>
    <t>วันสัตว์ป่าและพืชป่าโลก</t>
  </si>
  <si>
    <t>วันนักข่าว</t>
  </si>
  <si>
    <t>วันสตรีสากล</t>
  </si>
  <si>
    <t>วันช้างไทย</t>
  </si>
  <si>
    <t>วันคณิตศาสตร์โลก</t>
  </si>
  <si>
    <t>วันสิทธิผู้บริโภคสากล
วันนอนหลับโลก</t>
  </si>
  <si>
    <t>วันอาสาสมัครสาธารณสุขแห่งชาติ</t>
  </si>
  <si>
    <t>วันกวีนิพนธ์สากล
วันดาวน์ซินโดรมโลก
วันป่าไม้โลก</t>
  </si>
  <si>
    <t>วันอุตุนิยมวิทยาโลก</t>
  </si>
  <si>
    <t>วันวัณโรคโลก</t>
  </si>
  <si>
    <t>วันกองทัพอากาศ</t>
  </si>
  <si>
    <t>วันไบโพลาร์โลก</t>
  </si>
  <si>
    <t>วันพระบาทสมเด็จพระนั่งเกล้าเจ้าอยู่หัว</t>
  </si>
  <si>
    <t>วันออมสิน
April Fool's Day
วันข้าราชการพลเรือน
วันเลิกทาส</t>
  </si>
  <si>
    <t>วันอนุรักษ์มรดกไทย
วันคล้ายวันพระราชสมภพ สมเด็จพระกนิษฐาธิราชเจ้า กรมสมเด็จพระเทพรัตนราชสุดาฯ</t>
  </si>
  <si>
    <t>วันภาพยนตร์แห่งชาติ</t>
  </si>
  <si>
    <t>วันคล้ายวันประสูติ ทูลกระหม่อมหญิงอุบลรัตน์ราชกัญญา สิริวัฒนาพรรณวดี</t>
  </si>
  <si>
    <t>วันจักรี</t>
  </si>
  <si>
    <t>วันอนามัยโลก</t>
  </si>
  <si>
    <t>วันป่าชุมชนชายเลนไทย</t>
  </si>
  <si>
    <t>สงกรานต์
วันผู้สูงอายุแห่งชาติ</t>
  </si>
  <si>
    <t>สงกรานต์
วันครอบครัว</t>
  </si>
  <si>
    <t>สงกรานต์</t>
  </si>
  <si>
    <t>วันคุ้มครองโลก</t>
  </si>
  <si>
    <t>วันเทศบาล</t>
  </si>
  <si>
    <t>วันนเรศวรมหาราช
วันคล้ายวันสวรรคต สมเด็จพระนเรศวรมหาราช</t>
  </si>
  <si>
    <t>วันทรัพย์สินทางปัญญาโลก</t>
  </si>
  <si>
    <t>วันเต้นรำสากล
วันคล้ายวันประสูติ สมเด็จพระเจ้าลูกยาเธอ เจ้าฟ้าทีปังกรรัศมีโชติ</t>
  </si>
  <si>
    <t>วันชาไข่มุกแห่งชาติ
วันคุ้มครองผู้บริโภคไทย</t>
  </si>
  <si>
    <t>วันแรงงาน</t>
  </si>
  <si>
    <t>วันฉัตรมงคล</t>
  </si>
  <si>
    <t>วันคล้ายวันประสูติ พระเจ้าวรวงศ์เธอ พระองค์เจ้าอทิตยาทรกิติคุณ</t>
  </si>
  <si>
    <t>วันกาชาดสากล</t>
  </si>
  <si>
    <t>วันพยาบาลสากล</t>
  </si>
  <si>
    <t>วันวิสาขบูชา
วันครอบครัวสากล</t>
  </si>
  <si>
    <t>วันความหลากหลายทางชีวภาพ</t>
  </si>
  <si>
    <t>วันเต่าโลก</t>
  </si>
  <si>
    <t>International Flight Attendant Day
วันงดสูบบุหรี่โลก</t>
  </si>
  <si>
    <t>วันดื่มนมโลก</t>
  </si>
  <si>
    <r>
      <t xml:space="preserve">วันเฉลิมพระชนมพรรษา สมเด็จพระนางเจ้าสุทิดา พัชรสุธาพิมลลักษณ พระบรมราชินี
</t>
    </r>
    <r>
      <rPr>
        <sz val="8"/>
        <color theme="9"/>
        <rFont val="Leelawadee"/>
      </rPr>
      <t>วันวิ่งโลก</t>
    </r>
  </si>
  <si>
    <t>วันสิ่งแวดล้อมโลก</t>
  </si>
  <si>
    <t>วันเพื่อนสนิทสากล
วันมหาสมุทรโลก</t>
  </si>
  <si>
    <t>วันอานันทมหิดล</t>
  </si>
  <si>
    <t>วันต่อต้านการใช้แรงงานเด็กสากล</t>
  </si>
  <si>
    <t>วันต่อต้านปัญหาภัยแล้งและฝนแล้งของโลก</t>
  </si>
  <si>
    <t>วันผู้ลี้ภัยโลก</t>
  </si>
  <si>
    <t>วันเปลี่ยนแปลงการปกครอง</t>
  </si>
  <si>
    <t>วันสุนทรภู่
วันต่อต้านยาเสพติดโลก</t>
  </si>
  <si>
    <t>วันหยุดครึ่งปีธนาคาร
วันลูกเสือแห่งชาติ</t>
  </si>
  <si>
    <t>วันคล้ายวันประสูติ สมเด็จพระเจ้าน้องนางเธอ เจ้าฟ้าจุฬาภรณวลัยลักษณ์ฯ
วันชาติอเมริกา</t>
  </si>
  <si>
    <t>วันพูดความจริง</t>
  </si>
  <si>
    <r>
      <rPr>
        <sz val="10"/>
        <color theme="9"/>
        <rFont val="Leelawadee"/>
      </rPr>
      <t>วันอาสาฬหบูชา</t>
    </r>
    <r>
      <rPr>
        <sz val="9"/>
        <color rgb="FFFF0000"/>
        <rFont val="Leelawadee"/>
      </rPr>
      <t xml:space="preserve">
วันคล้ายวันประสูติ พระเจ้าวรวงศ์เธอ พระองค์เจ้าโสมสวลี กรมหมื่นสุทธนารีนาถ</t>
    </r>
  </si>
  <si>
    <t>วันเข้าพรรษา</t>
  </si>
  <si>
    <t>วันประมงแห่งชาติ</t>
  </si>
  <si>
    <t>วันพระบรมราชสมภพ พระบาทสมเด็จพระปรเมนทรรามาธิบดีศรีสินทรมหาวชิราลงกรณ พระวชิรเกล้าเจ้าอยู่หัว</t>
  </si>
  <si>
    <t>วันภาษาไทยแห่งชาติ</t>
  </si>
  <si>
    <t>วันสตรีไทย</t>
  </si>
  <si>
    <t>วันสื่อสารแห่งชาติ
วันสัตวแพทย์ไทย</t>
  </si>
  <si>
    <t>วันรพี</t>
  </si>
  <si>
    <t>วันแม่แห่งชาติ</t>
  </si>
  <si>
    <t>วันคนถนัดซ้ายสากล</t>
  </si>
  <si>
    <t>วันสันติภาพไทย</t>
  </si>
  <si>
    <t>วันยกย่องแมวดำ</t>
  </si>
  <si>
    <t>วันวิทยาศาสตร์แห่งชาติ</t>
  </si>
  <si>
    <t>วันสืบ นาคะเสถียร</t>
  </si>
  <si>
    <t>วันสารทจีน</t>
  </si>
  <si>
    <t>วันป้องกันการฆ่าตัวตายโลก
วันไหว้พระจันทร์</t>
  </si>
  <si>
    <t>วันกอดสุนัขแห่งชาติ</t>
  </si>
  <si>
    <t>วันศิลป์ พีระศรี</t>
  </si>
  <si>
    <t>วันโอโซนสากล
วันสารทไทย</t>
  </si>
  <si>
    <t>วันเยาวชนแห่งชาติ
วันอนุรักษ์รักษาคูคลองแห่งชาติ</t>
  </si>
  <si>
    <t>วันประมงแห่งชาติ
วันสันติภาพโลก</t>
  </si>
  <si>
    <t>วันคาร์ฟรีเดย์
วันแรดโลก</t>
  </si>
  <si>
    <t>วันมหิดล</t>
  </si>
  <si>
    <t>วันทะเลโลก
วันท่องเที่ยวโลก</t>
  </si>
  <si>
    <t>วันป้องกันโรคพิษสุนัขบ้าโลก
วันพระราชทานธงชาติไทย</t>
  </si>
  <si>
    <t>วันหัวใจโลก</t>
  </si>
  <si>
    <t>วันผู้สูงอายุสากล</t>
  </si>
  <si>
    <t xml:space="preserve"> วันสัตว์โลก</t>
  </si>
  <si>
    <t xml:space="preserve"> วันนวัตกรรมแห่งชาติ
วันครูโลก</t>
  </si>
  <si>
    <t>วันสายตาโลก
วันคล้ายวันประสูติ พระเจ้าวรวงศ์เธอ พระองค์เจ้าสิริภาจุฑาภรณ์</t>
  </si>
  <si>
    <t>วันไปรษณีย์โลก</t>
  </si>
  <si>
    <t>วันคล้ายวันสวรรคต รัชกาลที่ 9
วันตำรวจ</t>
  </si>
  <si>
    <t>วันประชาธิปไตย</t>
  </si>
  <si>
    <t>วันล้างมือโลก</t>
  </si>
  <si>
    <t>วันอาหารโลก</t>
  </si>
  <si>
    <t>วันเทคโนโลยีของไทย</t>
  </si>
  <si>
    <t>วันสังคมสงเคราะห์
วันพยาบาลแห่งชาติ
วันสังคมสงเคราะห์แห่งชาติ
วันทันตสาธารณสุขแห่งชาติ
วันรักต้นไม้ประจำปีของชาติ
วันคล้ายวันพระราชสมภพ สมเด็จพระศรีนครินทราบรมราชชนนี</t>
  </si>
  <si>
    <t>วันปิยมหาราช</t>
  </si>
  <si>
    <t>วันหยุดชดเชยวันปิยมหาราช
วันสหประชาชาติ</t>
  </si>
  <si>
    <t>วันสะเก็ดเงินโลก</t>
  </si>
  <si>
    <t>วันฮาโลวีน
วันออมแห่งชาติ</t>
  </si>
  <si>
    <t>วันคนพิการแห่งชาติ
วันพระบิดาแห่งฝนหลวง
วันเบาหวานโลก</t>
  </si>
  <si>
    <t>วันส้วมโลก</t>
  </si>
  <si>
    <t>วันกองทัพเรือ</t>
  </si>
  <si>
    <t>วันวชิราวุธ
วันประถมศึกษาแห่งชาติ
วันสมเด็จพระมหาธีรราชเจ้า</t>
  </si>
  <si>
    <t>วันขอบคุณพระเจ้า</t>
  </si>
  <si>
    <t>วันสาธารณสุขแห่งชาติ
วันสร้างสุขภาพแห่งชาติ</t>
  </si>
  <si>
    <t>วันเอดส์โลก
วันดำรงราชานุภาพ</t>
  </si>
  <si>
    <t>วันคนพิการสากล</t>
  </si>
  <si>
    <t>วันสิ่งแวดล้อมไทย</t>
  </si>
  <si>
    <t>วันพ่อแห่งชาติ
วันคล้ายวันพระบรมราชสมภพ พระบาทสมเด็จพระบรมชนกาธิเบศร มหาภูมิพลอดุลยเดชมหาราช บรมนาถบพิตร
วันดินโลก
วันชาติ</t>
  </si>
  <si>
    <t>วันคล้ายวันประสูติ สมเด็จพระเจ้าลูกเธอ เจ้าฟ้าพัชรกิติยาภา นเรนทิราเทพยวดี</t>
  </si>
  <si>
    <t>วันต่อต้านคอร์รัปชันสากล</t>
  </si>
  <si>
    <t>วันรัฐธรรมนูญ
วันสิทธิมนุษยชนสากล</t>
  </si>
  <si>
    <t>วันหยุดชดเชยวันรัฐธรรมนูญ</t>
  </si>
  <si>
    <t>วันชาสากล</t>
  </si>
  <si>
    <t>วันกีฬาแห่งชาติ</t>
  </si>
  <si>
    <t>เทศกาลวันไหว้ขนมบัวลอย</t>
  </si>
  <si>
    <t>วันคริสมาสต์อีฟ</t>
  </si>
  <si>
    <t>วันคริสต์มาส</t>
  </si>
  <si>
    <t>วันคุ้มครองสัตว์ป่าแห่งชาติ</t>
  </si>
  <si>
    <t>วันสมเด็จพระเจ้าตากสินมหาราช</t>
  </si>
  <si>
    <t>วันสิ้นปี</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</si>
</sst>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mmmm\ yyyy"/>
    <numFmt numFmtId="165" formatCode="mmmm"/>
    <numFmt numFmtId="166" formatCode="[$-D07041E]0000"/>
    <numFmt numFmtId="167" formatCode="[$-D07041E]d"/>
  </numFmts>
  <fonts count="22"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6"/>
      <name val="Cambria"/>
      <family val="3"/>
      <charset val="128"/>
      <scheme val="minor"/>
    </font>
    <font>
      <sz val="40"/>
      <color rgb="FFFF0000"/>
      <name val="Leelawadee"/>
      <family val="2"/>
    </font>
    <font>
      <b/>
      <sz val="40"/>
      <color rgb="FFFF0000"/>
      <name val="Leelawadee"/>
      <family val="2"/>
    </font>
    <font>
      <sz val="11"/>
      <color rgb="FFFF0000"/>
      <name val="Leelawadee"/>
      <family val="2"/>
    </font>
    <font>
      <sz val="22"/>
      <color rgb="FFFF0000"/>
      <name val="Leelawadee"/>
      <family val="2"/>
    </font>
    <font>
      <sz val="12"/>
      <color rgb="FFFF0000"/>
      <name val="Leelawadee"/>
      <family val="2"/>
    </font>
    <font>
      <b/>
      <sz val="12"/>
      <color rgb="FFFF0000"/>
      <name val="Leelawadee"/>
      <family val="2"/>
    </font>
    <font>
      <sz val="10"/>
      <color rgb="FFFF0000"/>
      <name val="Leelawadee"/>
      <family val="2"/>
    </font>
    <font>
      <sz val="40"/>
      <color theme="6" tint="0.39997558519241921"/>
      <name val="Leelawadee"/>
      <family val="2"/>
    </font>
    <font>
      <sz val="40"/>
      <color rgb="FF3F8583"/>
      <name val="Leelawadee"/>
      <family val="2"/>
    </font>
    <font>
      <sz val="40"/>
      <color theme="5" tint="0.39997558519241921"/>
      <name val="Leelawadee"/>
      <family val="2"/>
    </font>
    <font>
      <sz val="40"/>
      <color theme="4" tint="-0.249977111117893"/>
      <name val="Leelawadee"/>
      <family val="2"/>
    </font>
    <font>
      <sz val="9"/>
      <color rgb="FFFF0000"/>
      <name val="Leelawadee"/>
    </font>
    <font>
      <sz val="8"/>
      <color rgb="FFFF0000"/>
      <name val="Leelawadee"/>
    </font>
    <font>
      <sz val="8"/>
      <color theme="9"/>
      <name val="Leelawadee"/>
    </font>
    <font>
      <sz val="10"/>
      <color rgb="FFFF0000"/>
      <name val="Leelawadee"/>
    </font>
    <font>
      <sz val="10"/>
      <color theme="9"/>
      <name val="Leelawadee"/>
    </font>
  </fonts>
  <fills count="12">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
      <patternFill patternType="solid">
        <fgColor theme="4" tint="0.79998168889431442"/>
        <bgColor indexed="64"/>
      </patternFill>
    </fill>
    <fill>
      <patternFill patternType="solid">
        <fgColor theme="0"/>
        <bgColor indexed="64"/>
      </patternFill>
    </fill>
    <fill>
      <patternFill patternType="solid">
        <fgColor theme="2"/>
        <bgColor indexed="64"/>
      </patternFill>
    </fill>
  </fills>
  <borders count="52">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right/>
      <top/>
      <bottom style="thin">
        <color theme="5" tint="-0.24994659260841701"/>
      </bottom>
      <diagonal/>
    </border>
    <border>
      <left style="thin">
        <color theme="4" tint="-0.24994659260841701"/>
      </left>
      <right/>
      <top/>
      <bottom/>
      <diagonal/>
    </border>
    <border>
      <left style="thin">
        <color theme="6" tint="-0.24994659260841701"/>
      </left>
      <right/>
      <top style="thin">
        <color theme="6" tint="-0.24994659260841701"/>
      </top>
      <bottom/>
      <diagonal/>
    </border>
    <border>
      <left style="thin">
        <color theme="7" tint="-0.24994659260841701"/>
      </left>
      <right/>
      <top style="thin">
        <color theme="7" tint="-0.24994659260841701"/>
      </top>
      <bottom/>
      <diagonal/>
    </border>
    <border>
      <left/>
      <right/>
      <top/>
      <bottom style="thin">
        <color indexed="64"/>
      </bottom>
      <diagonal/>
    </border>
    <border>
      <left style="thin">
        <color theme="4" tint="-0.24994659260841701"/>
      </left>
      <right style="thin">
        <color theme="4" tint="-0.24994659260841701"/>
      </right>
      <top/>
      <bottom style="thin">
        <color indexed="64"/>
      </bottom>
      <diagonal/>
    </border>
    <border>
      <left/>
      <right style="thin">
        <color theme="7" tint="-0.24994659260841701"/>
      </right>
      <top/>
      <bottom style="thin">
        <color indexed="64"/>
      </bottom>
      <diagonal/>
    </border>
    <border>
      <left style="thin">
        <color theme="7" tint="-0.24994659260841701"/>
      </left>
      <right style="thin">
        <color theme="7" tint="-0.24994659260841701"/>
      </right>
      <top/>
      <bottom style="thin">
        <color indexed="64"/>
      </bottom>
      <diagonal/>
    </border>
    <border>
      <left style="thin">
        <color theme="6" tint="-0.24994659260841701"/>
      </left>
      <right style="thin">
        <color theme="6" tint="-0.24994659260841701"/>
      </right>
      <top/>
      <bottom style="thin">
        <color indexed="64"/>
      </bottom>
      <diagonal/>
    </border>
    <border>
      <left style="thin">
        <color theme="5" tint="-0.24994659260841701"/>
      </left>
      <right style="thin">
        <color theme="5" tint="-0.24994659260841701"/>
      </right>
      <top/>
      <bottom style="thin">
        <color indexed="64"/>
      </bottom>
      <diagonal/>
    </border>
    <border>
      <left/>
      <right style="thin">
        <color theme="5" tint="-0.24994659260841701"/>
      </right>
      <top/>
      <bottom style="thin">
        <color indexed="64"/>
      </bottom>
      <diagonal/>
    </border>
    <border>
      <left style="thin">
        <color theme="5" tint="-0.24994659260841701"/>
      </left>
      <right/>
      <top/>
      <bottom/>
      <diagonal/>
    </border>
    <border>
      <left/>
      <right style="thin">
        <color indexed="64"/>
      </right>
      <top/>
      <bottom/>
      <diagonal/>
    </border>
    <border>
      <left style="thin">
        <color theme="7" tint="-0.24994659260841701"/>
      </left>
      <right style="thin">
        <color indexed="64"/>
      </right>
      <top/>
      <bottom/>
      <diagonal/>
    </border>
    <border>
      <left style="thin">
        <color indexed="64"/>
      </left>
      <right style="thin">
        <color indexed="64"/>
      </right>
      <top/>
      <bottom/>
      <diagonal/>
    </border>
    <border>
      <left/>
      <right/>
      <top/>
      <bottom style="thin">
        <color theme="6" tint="-0.24994659260841701"/>
      </bottom>
      <diagonal/>
    </border>
    <border>
      <left style="thin">
        <color theme="6" tint="-0.24994659260841701"/>
      </left>
      <right/>
      <top/>
      <bottom/>
      <diagonal/>
    </border>
    <border>
      <left style="thin">
        <color indexed="64"/>
      </left>
      <right/>
      <top/>
      <bottom style="thin">
        <color theme="4" tint="-0.24994659260841701"/>
      </bottom>
      <diagonal/>
    </border>
    <border>
      <left style="thin">
        <color indexed="64"/>
      </left>
      <right/>
      <top/>
      <bottom/>
      <diagonal/>
    </border>
    <border>
      <left style="thin">
        <color indexed="64"/>
      </left>
      <right/>
      <top style="thin">
        <color theme="4" tint="-0.24994659260841701"/>
      </top>
      <bottom/>
      <diagonal/>
    </border>
    <border>
      <left style="thin">
        <color indexed="64"/>
      </left>
      <right style="thin">
        <color theme="4" tint="-0.24994659260841701"/>
      </right>
      <top/>
      <bottom/>
      <diagonal/>
    </border>
    <border>
      <left style="thin">
        <color indexed="64"/>
      </left>
      <right style="thin">
        <color theme="4" tint="-0.24994659260841701"/>
      </right>
      <top/>
      <bottom style="thin">
        <color indexed="64"/>
      </bottom>
      <diagonal/>
    </border>
    <border>
      <left style="thin">
        <color indexed="64"/>
      </left>
      <right/>
      <top/>
      <bottom style="thin">
        <color theme="5" tint="-0.24994659260841701"/>
      </bottom>
      <diagonal/>
    </border>
    <border>
      <left style="thin">
        <color indexed="64"/>
      </left>
      <right/>
      <top style="thin">
        <color theme="5" tint="-0.24994659260841701"/>
      </top>
      <bottom/>
      <diagonal/>
    </border>
    <border>
      <left style="thin">
        <color indexed="64"/>
      </left>
      <right style="thin">
        <color theme="5" tint="-0.24994659260841701"/>
      </right>
      <top/>
      <bottom/>
      <diagonal/>
    </border>
    <border>
      <left style="thin">
        <color indexed="64"/>
      </left>
      <right style="thin">
        <color theme="5" tint="-0.24994659260841701"/>
      </right>
      <top/>
      <bottom style="thin">
        <color indexed="64"/>
      </bottom>
      <diagonal/>
    </border>
    <border>
      <left style="thin">
        <color indexed="64"/>
      </left>
      <right/>
      <top style="thin">
        <color theme="6" tint="-0.24994659260841701"/>
      </top>
      <bottom/>
      <diagonal/>
    </border>
    <border>
      <left style="thin">
        <color indexed="64"/>
      </left>
      <right style="thin">
        <color theme="6" tint="-0.24994659260841701"/>
      </right>
      <top/>
      <bottom/>
      <diagonal/>
    </border>
    <border>
      <left style="thin">
        <color indexed="64"/>
      </left>
      <right/>
      <top/>
      <bottom style="thin">
        <color theme="6" tint="-0.24994659260841701"/>
      </bottom>
      <diagonal/>
    </border>
    <border>
      <left style="thin">
        <color indexed="64"/>
      </left>
      <right style="thin">
        <color theme="6" tint="-0.24994659260841701"/>
      </right>
      <top/>
      <bottom style="thin">
        <color indexed="64"/>
      </bottom>
      <diagonal/>
    </border>
    <border>
      <left style="thin">
        <color indexed="64"/>
      </left>
      <right/>
      <top style="thin">
        <color theme="7" tint="-0.24994659260841701"/>
      </top>
      <bottom/>
      <diagonal/>
    </border>
    <border>
      <left style="thin">
        <color indexed="64"/>
      </left>
      <right style="thin">
        <color theme="7" tint="-0.24994659260841701"/>
      </right>
      <top/>
      <bottom/>
      <diagonal/>
    </border>
    <border>
      <left style="thin">
        <color indexed="64"/>
      </left>
      <right style="thin">
        <color theme="7" tint="-0.24994659260841701"/>
      </right>
      <top/>
      <bottom style="thin">
        <color indexed="64"/>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177">
    <xf numFmtId="0" fontId="0" fillId="0" borderId="0" xfId="0"/>
    <xf numFmtId="164" fontId="7" fillId="0" borderId="0" xfId="1" applyNumberFormat="1" applyFont="1" applyBorder="1" applyAlignment="1">
      <alignment vertical="center"/>
    </xf>
    <xf numFmtId="164" fontId="6" fillId="0" borderId="0" xfId="1" applyNumberFormat="1" applyFont="1" applyBorder="1" applyAlignment="1">
      <alignment vertical="center"/>
    </xf>
    <xf numFmtId="0" fontId="8" fillId="0" borderId="0" xfId="1" applyFont="1"/>
    <xf numFmtId="0" fontId="9" fillId="0" borderId="0" xfId="0" applyFont="1"/>
    <xf numFmtId="0" fontId="10" fillId="0" borderId="0" xfId="0" applyFont="1"/>
    <xf numFmtId="0" fontId="8" fillId="0" borderId="0" xfId="1" applyFont="1" applyAlignment="1"/>
    <xf numFmtId="165" fontId="10" fillId="0" borderId="0" xfId="0" applyNumberFormat="1" applyFont="1"/>
    <xf numFmtId="0" fontId="10" fillId="0" borderId="0" xfId="0" applyFont="1" applyAlignment="1">
      <alignment horizontal="right"/>
    </xf>
    <xf numFmtId="0" fontId="8" fillId="0" borderId="0" xfId="1" applyFont="1" applyAlignment="1">
      <alignment horizontal="right"/>
    </xf>
    <xf numFmtId="0" fontId="12" fillId="0" borderId="0" xfId="1" applyFont="1" applyAlignment="1">
      <alignment horizontal="right"/>
    </xf>
    <xf numFmtId="0" fontId="12" fillId="0" borderId="0" xfId="1" applyFont="1"/>
    <xf numFmtId="0" fontId="10"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164" fontId="7" fillId="0" borderId="0" xfId="1" applyNumberFormat="1" applyFont="1" applyBorder="1" applyAlignment="1">
      <alignment vertical="top"/>
    </xf>
    <xf numFmtId="164" fontId="6" fillId="0" borderId="0" xfId="1" applyNumberFormat="1" applyFont="1" applyBorder="1" applyAlignment="1">
      <alignment vertical="top"/>
    </xf>
    <xf numFmtId="0" fontId="8" fillId="0" borderId="0" xfId="1" applyFont="1" applyAlignment="1">
      <alignment vertical="top"/>
    </xf>
    <xf numFmtId="167" fontId="8" fillId="4" borderId="5" xfId="1" applyNumberFormat="1" applyFont="1" applyFill="1" applyBorder="1" applyAlignment="1">
      <alignment vertical="top" wrapText="1"/>
    </xf>
    <xf numFmtId="167" fontId="8" fillId="4" borderId="3" xfId="1" applyNumberFormat="1" applyFont="1" applyFill="1" applyBorder="1" applyAlignment="1">
      <alignment vertical="top" wrapText="1"/>
    </xf>
    <xf numFmtId="167" fontId="8" fillId="5" borderId="10" xfId="1" applyNumberFormat="1" applyFont="1" applyFill="1" applyBorder="1" applyAlignment="1">
      <alignment vertical="top" wrapText="1"/>
    </xf>
    <xf numFmtId="167" fontId="8" fillId="5" borderId="7" xfId="1" applyNumberFormat="1" applyFont="1" applyFill="1" applyBorder="1" applyAlignment="1">
      <alignment vertical="top" wrapText="1"/>
    </xf>
    <xf numFmtId="167" fontId="12" fillId="0" borderId="9" xfId="1" applyNumberFormat="1" applyFont="1" applyFill="1" applyBorder="1" applyAlignment="1">
      <alignment vertical="top" wrapText="1"/>
    </xf>
    <xf numFmtId="167" fontId="12" fillId="0" borderId="0" xfId="1" applyNumberFormat="1" applyFont="1" applyFill="1" applyBorder="1" applyAlignment="1">
      <alignment vertical="top" wrapText="1"/>
    </xf>
    <xf numFmtId="0" fontId="11" fillId="0" borderId="19" xfId="2" applyFont="1" applyFill="1" applyBorder="1" applyAlignment="1"/>
    <xf numFmtId="167" fontId="12" fillId="0" borderId="4" xfId="1" applyNumberFormat="1" applyFont="1" applyFill="1" applyBorder="1" applyAlignment="1">
      <alignment vertical="top" wrapText="1"/>
    </xf>
    <xf numFmtId="0" fontId="11" fillId="0" borderId="6" xfId="2" applyFont="1" applyFill="1" applyBorder="1" applyAlignment="1"/>
    <xf numFmtId="167" fontId="8" fillId="5" borderId="10" xfId="1" applyNumberFormat="1" applyFont="1" applyFill="1" applyBorder="1" applyAlignment="1">
      <alignment horizontal="right" vertical="top" wrapText="1"/>
    </xf>
    <xf numFmtId="167" fontId="8" fillId="5" borderId="7" xfId="1" applyNumberFormat="1" applyFont="1" applyFill="1" applyBorder="1" applyAlignment="1">
      <alignment horizontal="right" vertical="top" wrapText="1"/>
    </xf>
    <xf numFmtId="167" fontId="8" fillId="5" borderId="7" xfId="1" applyNumberFormat="1" applyFont="1" applyFill="1" applyBorder="1" applyAlignment="1">
      <alignment horizontal="right" vertical="top" wrapText="1"/>
    </xf>
    <xf numFmtId="167" fontId="8" fillId="5" borderId="10" xfId="1" applyNumberFormat="1" applyFont="1" applyFill="1" applyBorder="1" applyAlignment="1">
      <alignment horizontal="right" vertical="top" wrapText="1"/>
    </xf>
    <xf numFmtId="0" fontId="10" fillId="0" borderId="23" xfId="0" applyFont="1" applyBorder="1"/>
    <xf numFmtId="0" fontId="8" fillId="0" borderId="23" xfId="1" applyFont="1" applyBorder="1"/>
    <xf numFmtId="167" fontId="12" fillId="0" borderId="24" xfId="2" applyNumberFormat="1" applyFont="1" applyFill="1" applyBorder="1" applyAlignment="1">
      <alignment vertical="top" wrapText="1"/>
    </xf>
    <xf numFmtId="167" fontId="12" fillId="9" borderId="0" xfId="3" applyNumberFormat="1" applyFont="1" applyFill="1" applyBorder="1" applyAlignment="1">
      <alignment vertical="top" wrapText="1"/>
    </xf>
    <xf numFmtId="167" fontId="12" fillId="9" borderId="2" xfId="3" applyNumberFormat="1" applyFont="1" applyFill="1" applyBorder="1" applyAlignment="1">
      <alignment vertical="top" wrapText="1"/>
    </xf>
    <xf numFmtId="167" fontId="12" fillId="9" borderId="31" xfId="3" applyNumberFormat="1" applyFont="1" applyFill="1" applyBorder="1" applyAlignment="1">
      <alignment vertical="top" wrapText="1"/>
    </xf>
    <xf numFmtId="167" fontId="8" fillId="4" borderId="20" xfId="1" applyNumberFormat="1" applyFont="1" applyFill="1" applyBorder="1" applyAlignment="1">
      <alignment vertical="top" wrapText="1"/>
    </xf>
    <xf numFmtId="167" fontId="12" fillId="0" borderId="33" xfId="1" applyNumberFormat="1" applyFont="1" applyFill="1" applyBorder="1" applyAlignment="1">
      <alignment vertical="top" wrapText="1"/>
    </xf>
    <xf numFmtId="0" fontId="10" fillId="10" borderId="0" xfId="0" applyFont="1" applyFill="1" applyAlignment="1">
      <alignment horizontal="right"/>
    </xf>
    <xf numFmtId="167" fontId="8" fillId="10" borderId="12" xfId="1" applyNumberFormat="1" applyFont="1" applyFill="1" applyBorder="1" applyAlignment="1">
      <alignment horizontal="right" vertical="top" wrapText="1"/>
    </xf>
    <xf numFmtId="167" fontId="8" fillId="10" borderId="35" xfId="1" applyNumberFormat="1" applyFont="1" applyFill="1" applyBorder="1" applyAlignment="1">
      <alignment horizontal="right" vertical="top" wrapText="1"/>
    </xf>
    <xf numFmtId="0" fontId="8" fillId="10" borderId="0" xfId="1" applyFont="1" applyFill="1" applyAlignment="1">
      <alignment horizontal="right"/>
    </xf>
    <xf numFmtId="167" fontId="8" fillId="11" borderId="35" xfId="1" applyNumberFormat="1" applyFont="1" applyFill="1" applyBorder="1" applyAlignment="1">
      <alignment horizontal="right" vertical="top" wrapText="1"/>
    </xf>
    <xf numFmtId="167" fontId="8" fillId="11" borderId="12" xfId="1" applyNumberFormat="1" applyFont="1" applyFill="1" applyBorder="1" applyAlignment="1">
      <alignment horizontal="right" vertical="top" wrapText="1"/>
    </xf>
    <xf numFmtId="0" fontId="10" fillId="0" borderId="0" xfId="0" applyFont="1" applyAlignment="1"/>
    <xf numFmtId="0" fontId="12" fillId="0" borderId="0" xfId="1" applyFont="1" applyAlignment="1"/>
    <xf numFmtId="167" fontId="8" fillId="8" borderId="21" xfId="1" applyNumberFormat="1" applyFont="1" applyFill="1" applyBorder="1" applyAlignment="1">
      <alignment horizontal="right" vertical="top" wrapText="1"/>
    </xf>
    <xf numFmtId="167" fontId="8" fillId="8" borderId="14" xfId="1" applyNumberFormat="1" applyFont="1" applyFill="1" applyBorder="1" applyAlignment="1">
      <alignment horizontal="right" vertical="top" wrapText="1"/>
    </xf>
    <xf numFmtId="167" fontId="8" fillId="7" borderId="22" xfId="1" applyNumberFormat="1" applyFont="1" applyFill="1" applyBorder="1" applyAlignment="1">
      <alignment horizontal="right" vertical="top" wrapText="1"/>
    </xf>
    <xf numFmtId="167" fontId="8" fillId="7" borderId="15" xfId="1" applyNumberFormat="1" applyFont="1" applyFill="1" applyBorder="1" applyAlignment="1">
      <alignment horizontal="right" vertical="top" wrapText="1"/>
    </xf>
    <xf numFmtId="167" fontId="8" fillId="4" borderId="3" xfId="1" applyNumberFormat="1" applyFont="1" applyFill="1" applyBorder="1" applyAlignment="1">
      <alignment horizontal="center" vertical="top" wrapText="1"/>
    </xf>
    <xf numFmtId="167" fontId="8" fillId="4" borderId="5" xfId="1" applyNumberFormat="1" applyFont="1" applyFill="1" applyBorder="1" applyAlignment="1">
      <alignment horizontal="center" vertical="top" wrapText="1"/>
    </xf>
    <xf numFmtId="167" fontId="8" fillId="7" borderId="22" xfId="1" applyNumberFormat="1" applyFont="1" applyFill="1" applyBorder="1" applyAlignment="1">
      <alignment horizontal="center" vertical="top" wrapText="1"/>
    </xf>
    <xf numFmtId="167" fontId="8" fillId="7" borderId="15" xfId="1" applyNumberFormat="1" applyFont="1" applyFill="1" applyBorder="1" applyAlignment="1">
      <alignment horizontal="center" vertical="top" wrapText="1"/>
    </xf>
    <xf numFmtId="167" fontId="8" fillId="7" borderId="16" xfId="1" applyNumberFormat="1" applyFont="1" applyFill="1" applyBorder="1" applyAlignment="1">
      <alignment horizontal="center" vertical="top" wrapText="1"/>
    </xf>
    <xf numFmtId="167" fontId="12" fillId="9" borderId="0" xfId="3" applyNumberFormat="1" applyFont="1" applyFill="1" applyBorder="1" applyAlignment="1">
      <alignment horizontal="center" vertical="top" wrapText="1"/>
    </xf>
    <xf numFmtId="167" fontId="12" fillId="0" borderId="4" xfId="1" applyNumberFormat="1" applyFont="1" applyFill="1" applyBorder="1" applyAlignment="1">
      <alignment horizontal="left" vertical="top" wrapText="1"/>
    </xf>
    <xf numFmtId="167" fontId="12" fillId="9" borderId="18" xfId="3" applyNumberFormat="1" applyFont="1" applyFill="1" applyBorder="1" applyAlignment="1">
      <alignment horizontal="left" vertical="top" wrapText="1"/>
    </xf>
    <xf numFmtId="167" fontId="12" fillId="0" borderId="0" xfId="1" applyNumberFormat="1" applyFont="1" applyFill="1" applyBorder="1" applyAlignment="1">
      <alignment horizontal="center" vertical="top" wrapText="1"/>
    </xf>
    <xf numFmtId="167" fontId="12" fillId="0" borderId="17" xfId="1" applyNumberFormat="1" applyFont="1" applyFill="1" applyBorder="1" applyAlignment="1">
      <alignment horizontal="left" vertical="top" wrapText="1"/>
    </xf>
    <xf numFmtId="167" fontId="12" fillId="0" borderId="18" xfId="1" applyNumberFormat="1" applyFont="1" applyFill="1" applyBorder="1" applyAlignment="1">
      <alignment horizontal="left" vertical="top" wrapText="1"/>
    </xf>
    <xf numFmtId="167" fontId="8" fillId="7" borderId="16" xfId="1" applyNumberFormat="1" applyFont="1" applyFill="1" applyBorder="1" applyAlignment="1">
      <alignment horizontal="right" vertical="top" wrapText="1"/>
    </xf>
    <xf numFmtId="167" fontId="8" fillId="7" borderId="15" xfId="1" applyNumberFormat="1" applyFont="1" applyFill="1" applyBorder="1" applyAlignment="1">
      <alignment horizontal="right" vertical="top" wrapText="1"/>
    </xf>
    <xf numFmtId="167" fontId="8" fillId="7" borderId="22" xfId="1" applyNumberFormat="1" applyFont="1" applyFill="1" applyBorder="1" applyAlignment="1">
      <alignment horizontal="right" vertical="top" wrapText="1"/>
    </xf>
    <xf numFmtId="167" fontId="18" fillId="0" borderId="18" xfId="1" applyNumberFormat="1" applyFont="1" applyFill="1" applyBorder="1" applyAlignment="1">
      <alignment horizontal="left" vertical="top" wrapText="1"/>
    </xf>
    <xf numFmtId="167" fontId="8" fillId="8" borderId="14" xfId="1" applyNumberFormat="1" applyFont="1" applyFill="1" applyBorder="1" applyAlignment="1">
      <alignment horizontal="right" vertical="top" wrapText="1"/>
    </xf>
    <xf numFmtId="167" fontId="8" fillId="8" borderId="21" xfId="1" applyNumberFormat="1" applyFont="1" applyFill="1" applyBorder="1" applyAlignment="1">
      <alignment horizontal="right" vertical="top" wrapText="1"/>
    </xf>
    <xf numFmtId="167" fontId="8" fillId="8" borderId="14" xfId="1" applyNumberFormat="1" applyFont="1" applyFill="1" applyBorder="1" applyAlignment="1">
      <alignment vertical="top" wrapText="1"/>
    </xf>
    <xf numFmtId="167" fontId="8" fillId="8" borderId="21" xfId="1" applyNumberFormat="1" applyFont="1" applyFill="1" applyBorder="1" applyAlignment="1">
      <alignment vertical="top" wrapText="1"/>
    </xf>
    <xf numFmtId="167" fontId="12" fillId="9" borderId="13" xfId="3" applyNumberFormat="1" applyFont="1" applyFill="1" applyBorder="1" applyAlignment="1">
      <alignment horizontal="left" vertical="top" wrapText="1"/>
    </xf>
    <xf numFmtId="167" fontId="12" fillId="0" borderId="13" xfId="1" applyNumberFormat="1" applyFont="1" applyFill="1" applyBorder="1" applyAlignment="1">
      <alignment horizontal="left" vertical="top" wrapText="1"/>
    </xf>
    <xf numFmtId="167" fontId="8" fillId="8" borderId="14" xfId="1" applyNumberFormat="1" applyFont="1" applyFill="1" applyBorder="1" applyAlignment="1">
      <alignment horizontal="center" vertical="top" wrapText="1"/>
    </xf>
    <xf numFmtId="167" fontId="8" fillId="8" borderId="21" xfId="1" applyNumberFormat="1" applyFont="1" applyFill="1" applyBorder="1" applyAlignment="1">
      <alignment horizontal="center" vertical="top" wrapText="1"/>
    </xf>
    <xf numFmtId="167" fontId="8" fillId="6" borderId="21" xfId="1" applyNumberFormat="1" applyFont="1" applyFill="1" applyBorder="1" applyAlignment="1">
      <alignment horizontal="right" vertical="top" wrapText="1"/>
    </xf>
    <xf numFmtId="167" fontId="8" fillId="6" borderId="14" xfId="1" applyNumberFormat="1" applyFont="1" applyFill="1" applyBorder="1" applyAlignment="1">
      <alignment horizontal="right" vertical="top" wrapText="1"/>
    </xf>
    <xf numFmtId="167" fontId="8" fillId="5" borderId="10" xfId="1" applyNumberFormat="1" applyFont="1" applyFill="1" applyBorder="1" applyAlignment="1">
      <alignment horizontal="right" vertical="top" wrapText="1"/>
    </xf>
    <xf numFmtId="167" fontId="8" fillId="5" borderId="7" xfId="1" applyNumberFormat="1" applyFont="1" applyFill="1" applyBorder="1" applyAlignment="1">
      <alignment horizontal="right" vertical="top" wrapText="1"/>
    </xf>
    <xf numFmtId="167" fontId="8" fillId="5" borderId="11" xfId="1" applyNumberFormat="1" applyFont="1" applyFill="1" applyBorder="1" applyAlignment="1">
      <alignment horizontal="right" vertical="top" wrapText="1"/>
    </xf>
    <xf numFmtId="167" fontId="8" fillId="5" borderId="11" xfId="1" applyNumberFormat="1" applyFont="1" applyFill="1" applyBorder="1" applyAlignment="1">
      <alignment horizontal="center" vertical="top" wrapText="1"/>
    </xf>
    <xf numFmtId="167" fontId="8" fillId="5" borderId="7" xfId="1" applyNumberFormat="1" applyFont="1" applyFill="1" applyBorder="1" applyAlignment="1">
      <alignment horizontal="center" vertical="top" wrapText="1"/>
    </xf>
    <xf numFmtId="167" fontId="8" fillId="5" borderId="10" xfId="1" applyNumberFormat="1" applyFont="1" applyFill="1" applyBorder="1" applyAlignment="1">
      <alignment horizontal="center" vertical="top" wrapText="1"/>
    </xf>
    <xf numFmtId="167" fontId="12" fillId="9" borderId="9" xfId="3" applyNumberFormat="1" applyFont="1" applyFill="1" applyBorder="1" applyAlignment="1">
      <alignment horizontal="left" vertical="top" wrapText="1"/>
    </xf>
    <xf numFmtId="167" fontId="12" fillId="0" borderId="8" xfId="1" applyNumberFormat="1" applyFont="1" applyFill="1" applyBorder="1" applyAlignment="1">
      <alignment horizontal="left" vertical="top" wrapText="1"/>
    </xf>
    <xf numFmtId="167" fontId="12" fillId="0" borderId="9" xfId="1" applyNumberFormat="1" applyFont="1" applyFill="1" applyBorder="1" applyAlignment="1">
      <alignment horizontal="left" vertical="top" wrapText="1"/>
    </xf>
    <xf numFmtId="167" fontId="12" fillId="0" borderId="0" xfId="3" applyNumberFormat="1" applyFont="1" applyFill="1" applyBorder="1" applyAlignment="1">
      <alignment horizontal="center" vertical="top" wrapText="1"/>
    </xf>
    <xf numFmtId="167" fontId="8" fillId="4" borderId="3" xfId="1" applyNumberFormat="1" applyFont="1" applyFill="1" applyBorder="1" applyAlignment="1">
      <alignment horizontal="right" vertical="top" wrapText="1"/>
    </xf>
    <xf numFmtId="167" fontId="8" fillId="4" borderId="5" xfId="1" applyNumberFormat="1" applyFont="1" applyFill="1" applyBorder="1" applyAlignment="1">
      <alignment horizontal="right" vertical="top" wrapText="1"/>
    </xf>
    <xf numFmtId="167" fontId="8" fillId="4" borderId="20" xfId="1" applyNumberFormat="1" applyFont="1" applyFill="1" applyBorder="1" applyAlignment="1">
      <alignment horizontal="right" vertical="top" wrapText="1"/>
    </xf>
    <xf numFmtId="167" fontId="8" fillId="4" borderId="2" xfId="1" applyNumberFormat="1" applyFont="1" applyFill="1" applyBorder="1" applyAlignment="1">
      <alignment horizontal="right" vertical="top" wrapText="1"/>
    </xf>
    <xf numFmtId="167" fontId="12" fillId="0" borderId="2" xfId="1" applyNumberFormat="1" applyFont="1" applyFill="1" applyBorder="1" applyAlignment="1">
      <alignment horizontal="left" vertical="top" wrapText="1"/>
    </xf>
    <xf numFmtId="167" fontId="12" fillId="9" borderId="24" xfId="2" applyNumberFormat="1" applyFont="1" applyFill="1" applyBorder="1" applyAlignment="1">
      <alignment horizontal="left" vertical="top" wrapText="1"/>
    </xf>
    <xf numFmtId="167" fontId="12" fillId="0" borderId="24" xfId="1" applyNumberFormat="1" applyFont="1" applyFill="1" applyBorder="1" applyAlignment="1">
      <alignment horizontal="left" vertical="top" wrapText="1"/>
    </xf>
    <xf numFmtId="167" fontId="12" fillId="0" borderId="24" xfId="2" applyNumberFormat="1" applyFont="1" applyFill="1" applyBorder="1" applyAlignment="1">
      <alignment horizontal="left" vertical="top" wrapText="1"/>
    </xf>
    <xf numFmtId="167" fontId="12" fillId="9" borderId="4" xfId="3" applyNumberFormat="1" applyFont="1" applyFill="1" applyBorder="1" applyAlignment="1">
      <alignment horizontal="left" vertical="top" wrapText="1"/>
    </xf>
    <xf numFmtId="167" fontId="12" fillId="11" borderId="4" xfId="1" applyNumberFormat="1" applyFont="1" applyFill="1" applyBorder="1" applyAlignment="1">
      <alignment horizontal="left" vertical="top" wrapText="1"/>
    </xf>
    <xf numFmtId="0" fontId="11" fillId="0" borderId="0" xfId="2" applyFont="1" applyFill="1" applyBorder="1" applyAlignment="1">
      <alignment horizontal="center"/>
    </xf>
    <xf numFmtId="0" fontId="11" fillId="0" borderId="6" xfId="2" applyFont="1" applyFill="1" applyBorder="1" applyAlignment="1">
      <alignment horizontal="center"/>
    </xf>
    <xf numFmtId="167" fontId="12" fillId="9" borderId="26" xfId="2" applyNumberFormat="1" applyFont="1" applyFill="1" applyBorder="1" applyAlignment="1">
      <alignment horizontal="left" vertical="top" wrapText="1"/>
    </xf>
    <xf numFmtId="166" fontId="14" fillId="0" borderId="0" xfId="1" applyNumberFormat="1" applyFont="1" applyBorder="1" applyAlignment="1">
      <alignment vertical="top"/>
    </xf>
    <xf numFmtId="0" fontId="8" fillId="0" borderId="0" xfId="1" applyFont="1"/>
    <xf numFmtId="164" fontId="14" fillId="0" borderId="0" xfId="1" applyNumberFormat="1" applyFont="1" applyBorder="1" applyAlignment="1">
      <alignment horizontal="left" vertical="top" indent="2"/>
    </xf>
    <xf numFmtId="167" fontId="12" fillId="0" borderId="25" xfId="1" applyNumberFormat="1" applyFont="1" applyFill="1" applyBorder="1" applyAlignment="1">
      <alignment horizontal="left" vertical="top" wrapText="1"/>
    </xf>
    <xf numFmtId="167" fontId="12" fillId="0" borderId="26" xfId="1" applyNumberFormat="1" applyFont="1" applyFill="1" applyBorder="1" applyAlignment="1">
      <alignment horizontal="left" vertical="top" wrapText="1"/>
    </xf>
    <xf numFmtId="167" fontId="12" fillId="0" borderId="26" xfId="2" applyNumberFormat="1" applyFont="1" applyFill="1" applyBorder="1" applyAlignment="1">
      <alignment horizontal="left" vertical="top" wrapText="1"/>
    </xf>
    <xf numFmtId="167" fontId="12" fillId="9" borderId="32" xfId="3" applyNumberFormat="1" applyFont="1" applyFill="1" applyBorder="1" applyAlignment="1">
      <alignment horizontal="left" vertical="top" wrapText="1"/>
    </xf>
    <xf numFmtId="167" fontId="17" fillId="0" borderId="18" xfId="1" applyNumberFormat="1" applyFont="1" applyFill="1" applyBorder="1" applyAlignment="1">
      <alignment horizontal="left" vertical="top" wrapText="1"/>
    </xf>
    <xf numFmtId="166" fontId="6" fillId="0" borderId="0" xfId="1" applyNumberFormat="1" applyFont="1" applyBorder="1" applyAlignment="1">
      <alignment vertical="top"/>
    </xf>
    <xf numFmtId="164" fontId="6" fillId="0" borderId="0" xfId="1" applyNumberFormat="1" applyFont="1" applyBorder="1" applyAlignment="1">
      <alignment horizontal="left" vertical="top" indent="2"/>
    </xf>
    <xf numFmtId="167" fontId="12" fillId="11" borderId="18" xfId="1" applyNumberFormat="1" applyFont="1" applyFill="1" applyBorder="1" applyAlignment="1">
      <alignment horizontal="left" vertical="top" wrapText="1"/>
    </xf>
    <xf numFmtId="167" fontId="12" fillId="9" borderId="27" xfId="2" applyNumberFormat="1" applyFont="1" applyFill="1" applyBorder="1" applyAlignment="1">
      <alignment horizontal="left" vertical="top" wrapText="1"/>
    </xf>
    <xf numFmtId="167" fontId="12" fillId="0" borderId="27" xfId="1" applyNumberFormat="1" applyFont="1" applyFill="1" applyBorder="1" applyAlignment="1">
      <alignment horizontal="left" vertical="top" wrapText="1"/>
    </xf>
    <xf numFmtId="167" fontId="12" fillId="0" borderId="27" xfId="2" applyNumberFormat="1" applyFont="1" applyFill="1" applyBorder="1" applyAlignment="1">
      <alignment horizontal="left" vertical="top" wrapText="1"/>
    </xf>
    <xf numFmtId="167" fontId="12" fillId="11" borderId="13" xfId="1" applyNumberFormat="1" applyFont="1" applyFill="1" applyBorder="1" applyAlignment="1">
      <alignment horizontal="left" vertical="top" wrapText="1"/>
    </xf>
    <xf numFmtId="166" fontId="13" fillId="0" borderId="0" xfId="1" applyNumberFormat="1" applyFont="1" applyBorder="1" applyAlignment="1">
      <alignment vertical="top"/>
    </xf>
    <xf numFmtId="164" fontId="13" fillId="0" borderId="0" xfId="1" applyNumberFormat="1" applyFont="1" applyBorder="1" applyAlignment="1">
      <alignment horizontal="left" vertical="top" indent="2"/>
    </xf>
    <xf numFmtId="167" fontId="18" fillId="11" borderId="13" xfId="1" applyNumberFormat="1" applyFont="1" applyFill="1" applyBorder="1" applyAlignment="1">
      <alignment horizontal="left" vertical="top" wrapText="1"/>
    </xf>
    <xf numFmtId="167" fontId="20" fillId="11" borderId="13" xfId="1" applyNumberFormat="1" applyFont="1" applyFill="1" applyBorder="1" applyAlignment="1">
      <alignment horizontal="left" vertical="top" wrapText="1"/>
    </xf>
    <xf numFmtId="167" fontId="12" fillId="0" borderId="34" xfId="1" applyNumberFormat="1" applyFont="1" applyFill="1" applyBorder="1" applyAlignment="1">
      <alignment horizontal="center" vertical="top" wrapText="1"/>
    </xf>
    <xf numFmtId="167" fontId="18" fillId="9" borderId="0" xfId="1" applyNumberFormat="1" applyFont="1" applyFill="1" applyBorder="1" applyAlignment="1">
      <alignment vertical="top" wrapText="1"/>
    </xf>
    <xf numFmtId="167" fontId="17" fillId="9" borderId="0" xfId="1" applyNumberFormat="1" applyFont="1" applyFill="1" applyBorder="1" applyAlignment="1">
      <alignment vertical="top" wrapText="1"/>
    </xf>
    <xf numFmtId="167" fontId="17" fillId="9" borderId="34" xfId="1" applyNumberFormat="1" applyFont="1" applyFill="1" applyBorder="1" applyAlignment="1">
      <alignment vertical="top" wrapText="1"/>
    </xf>
    <xf numFmtId="167" fontId="12" fillId="9" borderId="28" xfId="2" applyNumberFormat="1" applyFont="1" applyFill="1" applyBorder="1" applyAlignment="1">
      <alignment horizontal="left" vertical="top" wrapText="1"/>
    </xf>
    <xf numFmtId="167" fontId="12" fillId="0" borderId="28" xfId="1" applyNumberFormat="1" applyFont="1" applyFill="1" applyBorder="1" applyAlignment="1">
      <alignment horizontal="left" vertical="top" wrapText="1"/>
    </xf>
    <xf numFmtId="167" fontId="12" fillId="0" borderId="28" xfId="2" applyNumberFormat="1" applyFont="1" applyFill="1" applyBorder="1" applyAlignment="1">
      <alignment horizontal="left" vertical="top" wrapText="1"/>
    </xf>
    <xf numFmtId="167" fontId="12" fillId="9" borderId="9" xfId="1" applyNumberFormat="1" applyFont="1" applyFill="1" applyBorder="1" applyAlignment="1">
      <alignment horizontal="left" vertical="top" wrapText="1"/>
    </xf>
    <xf numFmtId="166" fontId="15" fillId="0" borderId="0" xfId="1" applyNumberFormat="1" applyFont="1" applyBorder="1" applyAlignment="1">
      <alignment vertical="top"/>
    </xf>
    <xf numFmtId="0" fontId="11" fillId="0" borderId="19" xfId="2" applyFont="1" applyFill="1" applyBorder="1" applyAlignment="1">
      <alignment horizontal="center"/>
    </xf>
    <xf numFmtId="164" fontId="15" fillId="0" borderId="0" xfId="1" applyNumberFormat="1" applyFont="1" applyBorder="1" applyAlignment="1">
      <alignment horizontal="left" vertical="top" indent="2"/>
    </xf>
    <xf numFmtId="167" fontId="12" fillId="0" borderId="29" xfId="1" applyNumberFormat="1" applyFont="1" applyFill="1" applyBorder="1" applyAlignment="1">
      <alignment horizontal="left" vertical="top" wrapText="1"/>
    </xf>
    <xf numFmtId="167" fontId="17" fillId="0" borderId="9" xfId="1" applyNumberFormat="1" applyFont="1" applyFill="1" applyBorder="1" applyAlignment="1">
      <alignment horizontal="left" vertical="top" wrapText="1"/>
    </xf>
    <xf numFmtId="167" fontId="12" fillId="9" borderId="30" xfId="3" applyNumberFormat="1" applyFont="1" applyFill="1" applyBorder="1" applyAlignment="1">
      <alignment horizontal="left" vertical="top" wrapText="1"/>
    </xf>
    <xf numFmtId="167" fontId="17" fillId="9" borderId="9" xfId="3" applyNumberFormat="1" applyFont="1" applyFill="1" applyBorder="1" applyAlignment="1">
      <alignment horizontal="left" vertical="top" wrapText="1"/>
    </xf>
    <xf numFmtId="167" fontId="12" fillId="9" borderId="8" xfId="3" applyNumberFormat="1" applyFont="1" applyFill="1" applyBorder="1" applyAlignment="1">
      <alignment horizontal="left" vertical="top" wrapText="1"/>
    </xf>
    <xf numFmtId="167" fontId="12" fillId="0" borderId="0" xfId="1" applyNumberFormat="1" applyFont="1" applyFill="1" applyBorder="1" applyAlignment="1">
      <alignment horizontal="left" vertical="top" wrapText="1"/>
    </xf>
    <xf numFmtId="167" fontId="12" fillId="0" borderId="30" xfId="1" applyNumberFormat="1" applyFont="1" applyFill="1" applyBorder="1" applyAlignment="1">
      <alignment horizontal="left" vertical="top" wrapText="1"/>
    </xf>
    <xf numFmtId="166" fontId="16" fillId="0" borderId="0" xfId="1" applyNumberFormat="1" applyFont="1" applyBorder="1" applyAlignment="1">
      <alignment vertical="top"/>
    </xf>
    <xf numFmtId="167" fontId="12" fillId="0" borderId="20" xfId="1" applyNumberFormat="1" applyFont="1" applyFill="1" applyBorder="1" applyAlignment="1">
      <alignment horizontal="left" vertical="top" wrapText="1"/>
    </xf>
    <xf numFmtId="167" fontId="12" fillId="9" borderId="4" xfId="1" applyNumberFormat="1" applyFont="1" applyFill="1" applyBorder="1" applyAlignment="1">
      <alignment horizontal="left" vertical="top" wrapText="1"/>
    </xf>
    <xf numFmtId="164" fontId="16" fillId="0" borderId="0" xfId="1" applyNumberFormat="1" applyFont="1" applyBorder="1" applyAlignment="1">
      <alignment horizontal="left" vertical="top" indent="2"/>
    </xf>
    <xf numFmtId="0" fontId="11" fillId="0" borderId="36" xfId="2" applyFont="1" applyFill="1" applyBorder="1" applyAlignment="1">
      <alignment horizontal="center"/>
    </xf>
    <xf numFmtId="164" fontId="6" fillId="0" borderId="37" xfId="1" applyNumberFormat="1" applyFont="1" applyBorder="1" applyAlignment="1">
      <alignment vertical="center"/>
    </xf>
    <xf numFmtId="0" fontId="8" fillId="0" borderId="37" xfId="1" applyFont="1" applyBorder="1" applyAlignment="1"/>
    <xf numFmtId="0" fontId="12" fillId="0" borderId="37" xfId="1" applyFont="1" applyBorder="1"/>
    <xf numFmtId="0" fontId="8" fillId="0" borderId="37" xfId="1" applyFont="1" applyBorder="1"/>
    <xf numFmtId="167" fontId="8" fillId="10" borderId="37" xfId="1" applyNumberFormat="1" applyFont="1" applyFill="1" applyBorder="1" applyAlignment="1">
      <alignment horizontal="right" vertical="top" wrapText="1"/>
    </xf>
    <xf numFmtId="167" fontId="8" fillId="4" borderId="38" xfId="1" applyNumberFormat="1" applyFont="1" applyFill="1" applyBorder="1" applyAlignment="1">
      <alignment horizontal="right" vertical="top" wrapText="1"/>
    </xf>
    <xf numFmtId="167" fontId="12" fillId="0" borderId="39" xfId="1" applyNumberFormat="1" applyFont="1" applyFill="1" applyBorder="1" applyAlignment="1">
      <alignment horizontal="left" vertical="top" wrapText="1"/>
    </xf>
    <xf numFmtId="167" fontId="12" fillId="0" borderId="36" xfId="1" applyNumberFormat="1" applyFont="1" applyFill="1" applyBorder="1" applyAlignment="1">
      <alignment horizontal="center" vertical="top" wrapText="1"/>
    </xf>
    <xf numFmtId="167" fontId="12" fillId="0" borderId="6" xfId="1" applyNumberFormat="1" applyFont="1" applyFill="1" applyBorder="1" applyAlignment="1">
      <alignment horizontal="center" vertical="top" wrapText="1"/>
    </xf>
    <xf numFmtId="167" fontId="12" fillId="9" borderId="39" xfId="1" applyNumberFormat="1" applyFont="1" applyFill="1" applyBorder="1" applyAlignment="1">
      <alignment horizontal="left" vertical="top" wrapText="1"/>
    </xf>
    <xf numFmtId="167" fontId="12" fillId="0" borderId="37" xfId="1" applyNumberFormat="1" applyFont="1" applyFill="1" applyBorder="1" applyAlignment="1">
      <alignment horizontal="center" vertical="top" wrapText="1"/>
    </xf>
    <xf numFmtId="167" fontId="12" fillId="0" borderId="40" xfId="1" applyNumberFormat="1" applyFont="1" applyFill="1" applyBorder="1" applyAlignment="1">
      <alignment horizontal="left" vertical="top" wrapText="1"/>
    </xf>
    <xf numFmtId="0" fontId="11" fillId="0" borderId="41" xfId="2" applyFont="1" applyFill="1" applyBorder="1" applyAlignment="1">
      <alignment horizontal="center"/>
    </xf>
    <xf numFmtId="167" fontId="8" fillId="5" borderId="42" xfId="1" applyNumberFormat="1" applyFont="1" applyFill="1" applyBorder="1" applyAlignment="1">
      <alignment horizontal="right" vertical="top" wrapText="1"/>
    </xf>
    <xf numFmtId="167" fontId="12" fillId="0" borderId="43" xfId="1" applyNumberFormat="1" applyFont="1" applyFill="1" applyBorder="1" applyAlignment="1">
      <alignment horizontal="left" vertical="top" wrapText="1"/>
    </xf>
    <xf numFmtId="167" fontId="17" fillId="0" borderId="43" xfId="1" applyNumberFormat="1" applyFont="1" applyFill="1" applyBorder="1" applyAlignment="1">
      <alignment horizontal="left" vertical="top" wrapText="1"/>
    </xf>
    <xf numFmtId="167" fontId="8" fillId="5" borderId="42" xfId="1" applyNumberFormat="1" applyFont="1" applyFill="1" applyBorder="1" applyAlignment="1">
      <alignment horizontal="center" vertical="top" wrapText="1"/>
    </xf>
    <xf numFmtId="167" fontId="12" fillId="0" borderId="44" xfId="1" applyNumberFormat="1" applyFont="1" applyFill="1" applyBorder="1" applyAlignment="1">
      <alignment horizontal="left" vertical="top" wrapText="1"/>
    </xf>
    <xf numFmtId="167" fontId="12" fillId="9" borderId="43" xfId="1" applyNumberFormat="1" applyFont="1" applyFill="1" applyBorder="1" applyAlignment="1">
      <alignment horizontal="left" vertical="top" wrapText="1"/>
    </xf>
    <xf numFmtId="0" fontId="11" fillId="0" borderId="37" xfId="2" applyFont="1" applyFill="1" applyBorder="1" applyAlignment="1">
      <alignment horizontal="center"/>
    </xf>
    <xf numFmtId="167" fontId="8" fillId="8" borderId="45" xfId="1" applyNumberFormat="1" applyFont="1" applyFill="1" applyBorder="1" applyAlignment="1">
      <alignment horizontal="right" vertical="top" wrapText="1"/>
    </xf>
    <xf numFmtId="167" fontId="12" fillId="0" borderId="46" xfId="1" applyNumberFormat="1" applyFont="1" applyFill="1" applyBorder="1" applyAlignment="1">
      <alignment horizontal="left" vertical="top" wrapText="1"/>
    </xf>
    <xf numFmtId="167" fontId="12" fillId="0" borderId="47" xfId="1" applyNumberFormat="1" applyFont="1" applyFill="1" applyBorder="1" applyAlignment="1">
      <alignment horizontal="center" vertical="top" wrapText="1"/>
    </xf>
    <xf numFmtId="167" fontId="12" fillId="0" borderId="48" xfId="1" applyNumberFormat="1" applyFont="1" applyFill="1" applyBorder="1" applyAlignment="1">
      <alignment horizontal="left" vertical="top" wrapText="1"/>
    </xf>
    <xf numFmtId="167" fontId="8" fillId="8" borderId="45" xfId="1" applyNumberFormat="1" applyFont="1" applyFill="1" applyBorder="1" applyAlignment="1">
      <alignment vertical="top" wrapText="1"/>
    </xf>
    <xf numFmtId="167" fontId="17" fillId="0" borderId="37" xfId="1" applyNumberFormat="1" applyFont="1" applyFill="1" applyBorder="1" applyAlignment="1">
      <alignment horizontal="center" vertical="top" wrapText="1"/>
    </xf>
    <xf numFmtId="167" fontId="8" fillId="8" borderId="45" xfId="1" applyNumberFormat="1" applyFont="1" applyFill="1" applyBorder="1" applyAlignment="1">
      <alignment horizontal="center" vertical="top" wrapText="1"/>
    </xf>
    <xf numFmtId="167" fontId="8" fillId="7" borderId="49" xfId="1" applyNumberFormat="1" applyFont="1" applyFill="1" applyBorder="1" applyAlignment="1">
      <alignment horizontal="center" vertical="top" wrapText="1"/>
    </xf>
    <xf numFmtId="167" fontId="12" fillId="0" borderId="50" xfId="1" applyNumberFormat="1" applyFont="1" applyFill="1" applyBorder="1" applyAlignment="1">
      <alignment horizontal="left" vertical="top" wrapText="1"/>
    </xf>
    <xf numFmtId="167" fontId="12" fillId="0" borderId="51" xfId="1" applyNumberFormat="1" applyFont="1" applyFill="1" applyBorder="1" applyAlignment="1">
      <alignment horizontal="left" vertical="top" wrapText="1"/>
    </xf>
    <xf numFmtId="167" fontId="8" fillId="7" borderId="49" xfId="1" applyNumberFormat="1" applyFont="1" applyFill="1" applyBorder="1" applyAlignment="1">
      <alignment horizontal="right" vertical="top" wrapText="1"/>
    </xf>
    <xf numFmtId="167" fontId="12" fillId="11" borderId="50" xfId="1" applyNumberFormat="1" applyFont="1" applyFill="1" applyBorder="1" applyAlignment="1">
      <alignment horizontal="left" vertical="top" wrapText="1"/>
    </xf>
    <xf numFmtId="167" fontId="17" fillId="0" borderId="50" xfId="1" applyNumberFormat="1" applyFont="1" applyFill="1" applyBorder="1" applyAlignment="1">
      <alignment horizontal="left" vertical="top" wrapText="1"/>
    </xf>
    <xf numFmtId="167" fontId="18" fillId="0" borderId="39" xfId="1" applyNumberFormat="1" applyFont="1" applyFill="1" applyBorder="1" applyAlignment="1">
      <alignment horizontal="left" vertical="top" wrapText="1"/>
    </xf>
    <xf numFmtId="167" fontId="8" fillId="4" borderId="38" xfId="1" applyNumberFormat="1" applyFont="1" applyFill="1" applyBorder="1" applyAlignment="1">
      <alignment horizontal="center" vertical="top" wrapText="1"/>
    </xf>
    <xf numFmtId="167" fontId="12" fillId="11" borderId="39" xfId="1" applyNumberFormat="1" applyFont="1" applyFill="1" applyBorder="1" applyAlignment="1">
      <alignment horizontal="left" vertical="top" wrapText="1"/>
    </xf>
  </cellXfs>
  <cellStyles count="5">
    <cellStyle name="40% - Accent1 2" xfId="3" xr:uid="{00000000-0005-0000-0000-000000000000}"/>
    <cellStyle name="Accent1 2" xfId="2" xr:uid="{00000000-0005-0000-0000-000001000000}"/>
    <cellStyle name="Heading 1 2" xfId="4" xr:uid="{00000000-0005-0000-0000-000002000000}"/>
    <cellStyle name="Normal" xfId="0" builtinId="0" customBuiltin="1"/>
    <cellStyle name="Normal 2" xfId="1" xr:uid="{00000000-0005-0000-0000-000003000000}"/>
  </cellStyles>
  <dxfs count="53">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7"/>
        </patternFill>
      </fill>
    </dxf>
    <dxf>
      <font>
        <b/>
        <i val="0"/>
        <color theme="0"/>
      </font>
      <fill>
        <patternFill>
          <bgColor theme="6" tint="-0.24994659260841701"/>
        </patternFill>
      </fill>
    </dxf>
    <dxf>
      <font>
        <b/>
        <i val="0"/>
        <color theme="0"/>
      </font>
      <fill>
        <patternFill>
          <bgColor theme="5" tint="-0.24994659260841701"/>
        </patternFill>
      </fill>
    </dxf>
    <dxf>
      <font>
        <b/>
        <i val="0"/>
        <color theme="0"/>
      </font>
      <fill>
        <patternFill>
          <bgColor theme="4" tint="-0.2499465926084170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52"/>
      <tableStyleElement type="headerRow" dxfId="51"/>
      <tableStyleElement type="totalRow" dxfId="50"/>
      <tableStyleElement type="firstColumn" dxfId="49"/>
      <tableStyleElement type="lastColumn" dxfId="48"/>
      <tableStyleElement type="firstRowStripe" dxfId="47"/>
      <tableStyleElement type="firstColumnStripe" dxfId="46"/>
    </tableStyle>
    <tableStyle name="TableStyleLight9 2" pivot="0" count="4" xr9:uid="{00000000-0011-0000-FFFF-FFFF01000000}">
      <tableStyleElement type="wholeTable" dxfId="45"/>
      <tableStyleElement type="headerRow" dxfId="44"/>
      <tableStyleElement type="totalRow" dxfId="43"/>
      <tableStyleElement type="firstColumn" dxfId="42"/>
    </tableStyle>
  </tableStyles>
  <colors>
    <mruColors>
      <color rgb="FF3F8583"/>
      <color rgb="FFF45500"/>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565"/>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1</xdr:col>
      <xdr:colOff>40105</xdr:colOff>
      <xdr:row>22</xdr:row>
      <xdr:rowOff>80212</xdr:rowOff>
    </xdr:from>
    <xdr:to>
      <xdr:col>1</xdr:col>
      <xdr:colOff>246201</xdr:colOff>
      <xdr:row>24</xdr:row>
      <xdr:rowOff>26737</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367631" y="6697580"/>
          <a:ext cx="206096" cy="247315"/>
        </a:xfrm>
        <a:prstGeom prst="rect">
          <a:avLst/>
        </a:prstGeom>
      </xdr:spPr>
    </xdr:pic>
    <xdr:clientData/>
  </xdr:twoCellAnchor>
  <xdr:twoCellAnchor>
    <xdr:from>
      <xdr:col>1</xdr:col>
      <xdr:colOff>4064</xdr:colOff>
      <xdr:row>2</xdr:row>
      <xdr:rowOff>0</xdr:rowOff>
    </xdr:from>
    <xdr:to>
      <xdr:col>15</xdr:col>
      <xdr:colOff>13737</xdr:colOff>
      <xdr:row>13</xdr:row>
      <xdr:rowOff>22858</xdr:rowOff>
    </xdr:to>
    <xdr:sp macro="" textlink="">
      <xdr:nvSpPr>
        <xdr:cNvPr id="2" name="สี่เหลี่ยม 1" title="บล็อกสีฤดูหนาวเบื้องหลังภาพ">
          <a:extLst>
            <a:ext uri="{FF2B5EF4-FFF2-40B4-BE49-F238E27FC236}">
              <a16:creationId xmlns:a16="http://schemas.microsoft.com/office/drawing/2014/main" id="{00000000-0008-0000-0000-000002000000}"/>
            </a:ext>
          </a:extLst>
        </xdr:cNvPr>
        <xdr:cNvSpPr/>
      </xdr:nvSpPr>
      <xdr:spPr>
        <a:xfrm>
          <a:off x="334264" y="892173"/>
          <a:ext cx="7515373" cy="34232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4064</xdr:colOff>
      <xdr:row>34</xdr:row>
      <xdr:rowOff>28573</xdr:rowOff>
    </xdr:from>
    <xdr:to>
      <xdr:col>15</xdr:col>
      <xdr:colOff>13737</xdr:colOff>
      <xdr:row>44</xdr:row>
      <xdr:rowOff>22858</xdr:rowOff>
    </xdr:to>
    <xdr:sp macro="" textlink="">
      <xdr:nvSpPr>
        <xdr:cNvPr id="7" name="สี่เหลี่ยม 6" title="บล็อกสีฤดูหนาวเบื้องหลังภาพ">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28574</xdr:rowOff>
    </xdr:from>
    <xdr:to>
      <xdr:col>15</xdr:col>
      <xdr:colOff>11049</xdr:colOff>
      <xdr:row>77</xdr:row>
      <xdr:rowOff>19050</xdr:rowOff>
    </xdr:to>
    <xdr:sp macro="" textlink="">
      <xdr:nvSpPr>
        <xdr:cNvPr id="11" name="สี่เหลี่ยม 10" title="บล็อกสีฤดูใบไม้ผลิเบื้องหลังภาพ">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66</xdr:row>
      <xdr:rowOff>0</xdr:rowOff>
    </xdr:from>
    <xdr:to>
      <xdr:col>10</xdr:col>
      <xdr:colOff>79248</xdr:colOff>
      <xdr:row>75</xdr:row>
      <xdr:rowOff>112303</xdr:rowOff>
    </xdr:to>
    <xdr:pic>
      <xdr:nvPicPr>
        <xdr:cNvPr id="12" name="รูปภาพ 11" descr="เด็กสามคนใส่รองเท้าบูทกันฝนกำลังเล่นอยู่ข้างนอก เมื่อต้องการเปลี่ยนรูปภาพนี้ ให้คลิกขวาที่รูปภาพ แล้วคลิก เปลี่ยนรูปภาพ" title="รูปภาพครอบครัวเดือนมีนาคม">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65</xdr:row>
      <xdr:rowOff>209550</xdr:rowOff>
    </xdr:from>
    <xdr:to>
      <xdr:col>14</xdr:col>
      <xdr:colOff>153925</xdr:colOff>
      <xdr:row>76</xdr:row>
      <xdr:rowOff>39624</xdr:rowOff>
    </xdr:to>
    <xdr:sp macro="" textlink="">
      <xdr:nvSpPr>
        <xdr:cNvPr id="13" name="กล่องข้อความ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a:solidFill>
                <a:schemeClr val="bg1"/>
              </a:solidFill>
              <a:latin typeface="Leelawadee" panose="020B0502040204020203" pitchFamily="34" charset="-34"/>
              <a:cs typeface="Leelawadee" panose="020B0502040204020203" pitchFamily="34" charset="-34"/>
            </a:rPr>
            <a:t>หมายเหตุ</a:t>
          </a:r>
          <a:endParaRPr lang="en-US" sz="1600">
            <a:solidFill>
              <a:schemeClr val="bg1"/>
            </a:solidFill>
            <a:latin typeface="Leelawadee" panose="020B0502040204020203" pitchFamily="34" charset="-34"/>
            <a:cs typeface="Leelawadee" panose="020B0502040204020203" pitchFamily="34" charset="-34"/>
          </a:endParaRPr>
        </a:p>
        <a:p>
          <a:endParaRPr lang="en-US" sz="1200">
            <a:solidFill>
              <a:schemeClr val="bg1"/>
            </a:solidFill>
            <a:latin typeface="Leelawadee" panose="020B0502040204020203" pitchFamily="34" charset="-34"/>
            <a:cs typeface="Leelawadee" panose="020B0502040204020203" pitchFamily="34" charset="-34"/>
          </a:endParaRPr>
        </a:p>
      </xdr:txBody>
    </xdr:sp>
    <xdr:clientData/>
  </xdr:twoCellAnchor>
  <xdr:twoCellAnchor>
    <xdr:from>
      <xdr:col>1</xdr:col>
      <xdr:colOff>0</xdr:colOff>
      <xdr:row>98</xdr:row>
      <xdr:rowOff>28574</xdr:rowOff>
    </xdr:from>
    <xdr:to>
      <xdr:col>15</xdr:col>
      <xdr:colOff>11049</xdr:colOff>
      <xdr:row>109</xdr:row>
      <xdr:rowOff>19050</xdr:rowOff>
    </xdr:to>
    <xdr:sp macro="" textlink="">
      <xdr:nvSpPr>
        <xdr:cNvPr id="15" name="สี่เหลี่ยม 14" title="บล็อกสีฤดูใบไม้ผลิเบื้องหลังภาพ">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99</xdr:row>
      <xdr:rowOff>173446</xdr:rowOff>
    </xdr:from>
    <xdr:to>
      <xdr:col>10</xdr:col>
      <xdr:colOff>79248</xdr:colOff>
      <xdr:row>107</xdr:row>
      <xdr:rowOff>112303</xdr:rowOff>
    </xdr:to>
    <xdr:pic>
      <xdr:nvPicPr>
        <xdr:cNvPr id="16" name="รูปภาพ 15" descr="สาวน้อยยืนอยู่ท่ามกลางดอกเชอรี่บาน เมื่อต้องการเปลี่ยนรูปภาพนี้ ให้คลิกขวาที่รูปภาพ แล้วคลิก เปลี่ยนรูปภาพ" title="รูปภาพครอบครัวเดือนเมษายน">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98</xdr:row>
      <xdr:rowOff>209550</xdr:rowOff>
    </xdr:from>
    <xdr:to>
      <xdr:col>14</xdr:col>
      <xdr:colOff>153925</xdr:colOff>
      <xdr:row>108</xdr:row>
      <xdr:rowOff>39624</xdr:rowOff>
    </xdr:to>
    <xdr:sp macro="" textlink="">
      <xdr:nvSpPr>
        <xdr:cNvPr id="17" name="กล่องข้อความ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a:solidFill>
                <a:schemeClr val="bg1"/>
              </a:solidFill>
              <a:latin typeface="Leelawadee" panose="020B0502040204020203" pitchFamily="34" charset="-34"/>
              <a:cs typeface="Leelawadee" panose="020B0502040204020203" pitchFamily="34" charset="-34"/>
            </a:rPr>
            <a:t>หมายเหตุ</a:t>
          </a:r>
        </a:p>
        <a:p>
          <a:endParaRPr lang="en-US" sz="1600">
            <a:solidFill>
              <a:schemeClr val="bg1"/>
            </a:solidFill>
            <a:latin typeface="Leelawadee" panose="020B0502040204020203" pitchFamily="34" charset="-34"/>
            <a:cs typeface="Leelawadee" panose="020B0502040204020203" pitchFamily="34" charset="-34"/>
          </a:endParaRPr>
        </a:p>
        <a:p>
          <a:endParaRPr lang="en-US" sz="1200">
            <a:solidFill>
              <a:schemeClr val="bg1"/>
            </a:solidFill>
            <a:latin typeface="Leelawadee" panose="020B0502040204020203" pitchFamily="34" charset="-34"/>
            <a:cs typeface="Leelawadee" panose="020B0502040204020203" pitchFamily="34" charset="-34"/>
          </a:endParaRPr>
        </a:p>
      </xdr:txBody>
    </xdr:sp>
    <xdr:clientData/>
  </xdr:twoCellAnchor>
  <xdr:twoCellAnchor>
    <xdr:from>
      <xdr:col>1</xdr:col>
      <xdr:colOff>0</xdr:colOff>
      <xdr:row>130</xdr:row>
      <xdr:rowOff>28574</xdr:rowOff>
    </xdr:from>
    <xdr:to>
      <xdr:col>15</xdr:col>
      <xdr:colOff>11049</xdr:colOff>
      <xdr:row>140</xdr:row>
      <xdr:rowOff>19050</xdr:rowOff>
    </xdr:to>
    <xdr:sp macro="" textlink="">
      <xdr:nvSpPr>
        <xdr:cNvPr id="19" name="สี่เหลี่ยม 18" title="บล็อกสีฤดูใบไม้ผลิเบื้องหลังภาพ">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209551</xdr:colOff>
      <xdr:row>130</xdr:row>
      <xdr:rowOff>209550</xdr:rowOff>
    </xdr:from>
    <xdr:to>
      <xdr:col>14</xdr:col>
      <xdr:colOff>153925</xdr:colOff>
      <xdr:row>139</xdr:row>
      <xdr:rowOff>39624</xdr:rowOff>
    </xdr:to>
    <xdr:sp macro="" textlink="">
      <xdr:nvSpPr>
        <xdr:cNvPr id="21" name="กล่องข้อความ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a:solidFill>
                <a:schemeClr val="bg1"/>
              </a:solidFill>
              <a:latin typeface="Leelawadee" panose="020B0502040204020203" pitchFamily="34" charset="-34"/>
              <a:cs typeface="Leelawadee" panose="020B0502040204020203" pitchFamily="34" charset="-34"/>
            </a:rPr>
            <a:t>หมายเหตุ</a:t>
          </a:r>
        </a:p>
        <a:p>
          <a:endParaRPr lang="en-US" sz="1200">
            <a:solidFill>
              <a:schemeClr val="bg1"/>
            </a:solidFill>
            <a:latin typeface="Leelawadee" panose="020B0502040204020203" pitchFamily="34" charset="-34"/>
            <a:cs typeface="Leelawadee" panose="020B0502040204020203" pitchFamily="34" charset="-34"/>
          </a:endParaRPr>
        </a:p>
      </xdr:txBody>
    </xdr:sp>
    <xdr:clientData/>
  </xdr:twoCellAnchor>
  <xdr:twoCellAnchor>
    <xdr:from>
      <xdr:col>1</xdr:col>
      <xdr:colOff>0</xdr:colOff>
      <xdr:row>161</xdr:row>
      <xdr:rowOff>28574</xdr:rowOff>
    </xdr:from>
    <xdr:to>
      <xdr:col>15</xdr:col>
      <xdr:colOff>11049</xdr:colOff>
      <xdr:row>172</xdr:row>
      <xdr:rowOff>19050</xdr:rowOff>
    </xdr:to>
    <xdr:sp macro="" textlink="">
      <xdr:nvSpPr>
        <xdr:cNvPr id="23" name="สี่เหลี่ยม 22" title="บล็อกสีฤดูร้อนเบื้องหลังภาพ">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162</xdr:row>
      <xdr:rowOff>173446</xdr:rowOff>
    </xdr:from>
    <xdr:to>
      <xdr:col>10</xdr:col>
      <xdr:colOff>98298</xdr:colOff>
      <xdr:row>170</xdr:row>
      <xdr:rowOff>112303</xdr:rowOff>
    </xdr:to>
    <xdr:pic>
      <xdr:nvPicPr>
        <xdr:cNvPr id="24" name="รูปภาพ 23" descr="เด็กน้อยสองคนบนชายหาดริมทะเล เมื่อต้องการเปลี่ยนรูปภาพนี้ ให้คลิกขวาที่รูปภาพ แล้วคลิก เปลี่ยนรูปภาพ" title="รูปภาพครอบครัวเดือนมิถุนายน">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161</xdr:row>
      <xdr:rowOff>209550</xdr:rowOff>
    </xdr:from>
    <xdr:to>
      <xdr:col>14</xdr:col>
      <xdr:colOff>172974</xdr:colOff>
      <xdr:row>171</xdr:row>
      <xdr:rowOff>39624</xdr:rowOff>
    </xdr:to>
    <xdr:sp macro="" textlink="">
      <xdr:nvSpPr>
        <xdr:cNvPr id="25" name="กล่องข้อความ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a:solidFill>
                <a:schemeClr val="bg1"/>
              </a:solidFill>
              <a:latin typeface="Leelawadee" panose="020B0502040204020203" pitchFamily="34" charset="-34"/>
              <a:cs typeface="Leelawadee" panose="020B0502040204020203" pitchFamily="34" charset="-34"/>
            </a:rPr>
            <a:t>หมายเหตุ</a:t>
          </a:r>
          <a:endParaRPr lang="en-US" sz="1600">
            <a:solidFill>
              <a:schemeClr val="bg1"/>
            </a:solidFill>
            <a:latin typeface="Leelawadee" panose="020B0502040204020203" pitchFamily="34" charset="-34"/>
            <a:cs typeface="Leelawadee" panose="020B0502040204020203" pitchFamily="34" charset="-34"/>
          </a:endParaRPr>
        </a:p>
        <a:p>
          <a:endParaRPr lang="en-US" sz="1200">
            <a:solidFill>
              <a:schemeClr val="bg1"/>
            </a:solidFill>
            <a:latin typeface="Leelawadee" panose="020B0502040204020203" pitchFamily="34" charset="-34"/>
            <a:cs typeface="Leelawadee" panose="020B0502040204020203" pitchFamily="34" charset="-34"/>
          </a:endParaRPr>
        </a:p>
      </xdr:txBody>
    </xdr:sp>
    <xdr:clientData/>
  </xdr:twoCellAnchor>
  <xdr:twoCellAnchor>
    <xdr:from>
      <xdr:col>1</xdr:col>
      <xdr:colOff>0</xdr:colOff>
      <xdr:row>192</xdr:row>
      <xdr:rowOff>28574</xdr:rowOff>
    </xdr:from>
    <xdr:to>
      <xdr:col>15</xdr:col>
      <xdr:colOff>11049</xdr:colOff>
      <xdr:row>203</xdr:row>
      <xdr:rowOff>19050</xdr:rowOff>
    </xdr:to>
    <xdr:sp macro="" textlink="">
      <xdr:nvSpPr>
        <xdr:cNvPr id="27" name="สี่เหลี่ยม 26" title="บล็อกสีฤดูร้อนเบื้องหลังภาพ">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193</xdr:row>
      <xdr:rowOff>173446</xdr:rowOff>
    </xdr:from>
    <xdr:to>
      <xdr:col>10</xdr:col>
      <xdr:colOff>98298</xdr:colOff>
      <xdr:row>201</xdr:row>
      <xdr:rowOff>112303</xdr:rowOff>
    </xdr:to>
    <xdr:pic>
      <xdr:nvPicPr>
        <xdr:cNvPr id="28" name="รูปภาพ 27" descr="ภาพใต้น้ำของเด็กชายสวมแว่นตาว่ายน้ำในสระน้ำ  เมื่อต้องการเปลี่ยนรูปภาพนี้ ให้คลิกขวาที่รูปภาพ แล้วคลิก เปลี่ยนรูปภาพ" title="รูปภาพครอบครัวเดือนกรกฎาคม">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192</xdr:row>
      <xdr:rowOff>209550</xdr:rowOff>
    </xdr:from>
    <xdr:to>
      <xdr:col>14</xdr:col>
      <xdr:colOff>172974</xdr:colOff>
      <xdr:row>202</xdr:row>
      <xdr:rowOff>39624</xdr:rowOff>
    </xdr:to>
    <xdr:sp macro="" textlink="">
      <xdr:nvSpPr>
        <xdr:cNvPr id="29" name="กล่องข้อความ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a:solidFill>
                <a:schemeClr val="bg1"/>
              </a:solidFill>
              <a:latin typeface="Leelawadee" panose="020B0502040204020203" pitchFamily="34" charset="-34"/>
              <a:cs typeface="Leelawadee" panose="020B0502040204020203" pitchFamily="34" charset="-34"/>
            </a:rPr>
            <a:t>หมายเหตุ</a:t>
          </a:r>
          <a:endParaRPr lang="en-US" sz="1600">
            <a:solidFill>
              <a:schemeClr val="bg1"/>
            </a:solidFill>
            <a:latin typeface="Leelawadee" panose="020B0502040204020203" pitchFamily="34" charset="-34"/>
            <a:cs typeface="Leelawadee" panose="020B0502040204020203" pitchFamily="34" charset="-34"/>
          </a:endParaRPr>
        </a:p>
        <a:p>
          <a:endParaRPr lang="en-US" sz="1200">
            <a:solidFill>
              <a:schemeClr val="bg1"/>
            </a:solidFill>
            <a:latin typeface="Leelawadee" panose="020B0502040204020203" pitchFamily="34" charset="-34"/>
            <a:cs typeface="Leelawadee" panose="020B0502040204020203" pitchFamily="34" charset="-34"/>
          </a:endParaRPr>
        </a:p>
      </xdr:txBody>
    </xdr:sp>
    <xdr:clientData/>
  </xdr:twoCellAnchor>
  <xdr:twoCellAnchor>
    <xdr:from>
      <xdr:col>1</xdr:col>
      <xdr:colOff>0</xdr:colOff>
      <xdr:row>224</xdr:row>
      <xdr:rowOff>28574</xdr:rowOff>
    </xdr:from>
    <xdr:to>
      <xdr:col>15</xdr:col>
      <xdr:colOff>11049</xdr:colOff>
      <xdr:row>235</xdr:row>
      <xdr:rowOff>19050</xdr:rowOff>
    </xdr:to>
    <xdr:sp macro="" textlink="">
      <xdr:nvSpPr>
        <xdr:cNvPr id="31" name="สี่เหลี่ยม 30" title="บล็อกสีฤดูร้อนเบื้องหลังภาพ">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225</xdr:row>
      <xdr:rowOff>173446</xdr:rowOff>
    </xdr:from>
    <xdr:to>
      <xdr:col>10</xdr:col>
      <xdr:colOff>98298</xdr:colOff>
      <xdr:row>233</xdr:row>
      <xdr:rowOff>112303</xdr:rowOff>
    </xdr:to>
    <xdr:pic>
      <xdr:nvPicPr>
        <xdr:cNvPr id="32" name="รูปภาพ 31" descr="ภาพมุมใกล้ของเด็กชายสองคนสวมเสื้อชูชีพบนเรือ เมื่อต้องการเปลี่ยนรูปภาพนี้ ให้คลิกขวาที่รูปภาพ แล้วคลิก เปลี่ยนรูปภาพ" title="รูปภาพครอบครัวเดือนสิงหาคม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224</xdr:row>
      <xdr:rowOff>209550</xdr:rowOff>
    </xdr:from>
    <xdr:to>
      <xdr:col>14</xdr:col>
      <xdr:colOff>172974</xdr:colOff>
      <xdr:row>234</xdr:row>
      <xdr:rowOff>39624</xdr:rowOff>
    </xdr:to>
    <xdr:sp macro="" textlink="">
      <xdr:nvSpPr>
        <xdr:cNvPr id="33" name="กล่องข้อความ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a:solidFill>
                <a:schemeClr val="bg1"/>
              </a:solidFill>
              <a:latin typeface="Leelawadee" panose="020B0502040204020203" pitchFamily="34" charset="-34"/>
              <a:cs typeface="Leelawadee" panose="020B0502040204020203" pitchFamily="34" charset="-34"/>
            </a:rPr>
            <a:t>หมายเหตุ</a:t>
          </a:r>
        </a:p>
      </xdr:txBody>
    </xdr:sp>
    <xdr:clientData/>
  </xdr:twoCellAnchor>
  <xdr:twoCellAnchor>
    <xdr:from>
      <xdr:col>1</xdr:col>
      <xdr:colOff>0</xdr:colOff>
      <xdr:row>256</xdr:row>
      <xdr:rowOff>28574</xdr:rowOff>
    </xdr:from>
    <xdr:to>
      <xdr:col>15</xdr:col>
      <xdr:colOff>11049</xdr:colOff>
      <xdr:row>267</xdr:row>
      <xdr:rowOff>19050</xdr:rowOff>
    </xdr:to>
    <xdr:sp macro="" textlink="">
      <xdr:nvSpPr>
        <xdr:cNvPr id="35" name="สี่เหลี่ยม 34" title="บล็อกสีฤดูใบไม้ร่วงเบื้องหลังภาพ">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9525</xdr:colOff>
      <xdr:row>256</xdr:row>
      <xdr:rowOff>200026</xdr:rowOff>
    </xdr:from>
    <xdr:to>
      <xdr:col>14</xdr:col>
      <xdr:colOff>190499</xdr:colOff>
      <xdr:row>266</xdr:row>
      <xdr:rowOff>28576</xdr:rowOff>
    </xdr:to>
    <xdr:sp macro="" textlink="">
      <xdr:nvSpPr>
        <xdr:cNvPr id="37" name="กล่องข้อความ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a:solidFill>
                <a:schemeClr val="bg1"/>
              </a:solidFill>
              <a:latin typeface="Leelawadee" panose="020B0502040204020203" pitchFamily="34" charset="-34"/>
              <a:cs typeface="Leelawadee" panose="020B0502040204020203" pitchFamily="34" charset="-34"/>
            </a:rPr>
            <a:t>หมายเหตุ</a:t>
          </a:r>
        </a:p>
      </xdr:txBody>
    </xdr:sp>
    <xdr:clientData/>
  </xdr:twoCellAnchor>
  <xdr:twoCellAnchor>
    <xdr:from>
      <xdr:col>1</xdr:col>
      <xdr:colOff>0</xdr:colOff>
      <xdr:row>288</xdr:row>
      <xdr:rowOff>28574</xdr:rowOff>
    </xdr:from>
    <xdr:to>
      <xdr:col>15</xdr:col>
      <xdr:colOff>11049</xdr:colOff>
      <xdr:row>299</xdr:row>
      <xdr:rowOff>19050</xdr:rowOff>
    </xdr:to>
    <xdr:sp macro="" textlink="">
      <xdr:nvSpPr>
        <xdr:cNvPr id="39" name="สี่เหลี่ยม 38" title="บล็อกสีฤดูใบไม้ร่วงเบื้องหลังภาพ">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289</xdr:row>
      <xdr:rowOff>174347</xdr:rowOff>
    </xdr:from>
    <xdr:to>
      <xdr:col>10</xdr:col>
      <xdr:colOff>85725</xdr:colOff>
      <xdr:row>297</xdr:row>
      <xdr:rowOff>111401</xdr:rowOff>
    </xdr:to>
    <xdr:pic>
      <xdr:nvPicPr>
        <xdr:cNvPr id="40" name="รูปภาพ 39" descr="เด็กหญิงถือฟักทองในสวนฟักทอง เมื่อต้องการเปลี่ยนรูปภาพนี้ ให้คลิกขวาที่รูปภาพ แล้วคลิก เปลี่ยนรูปภาพ" title="รูปภาพครอบครัวเดือนตุลาคม">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288</xdr:row>
      <xdr:rowOff>200026</xdr:rowOff>
    </xdr:from>
    <xdr:to>
      <xdr:col>14</xdr:col>
      <xdr:colOff>190499</xdr:colOff>
      <xdr:row>298</xdr:row>
      <xdr:rowOff>28576</xdr:rowOff>
    </xdr:to>
    <xdr:sp macro="" textlink="">
      <xdr:nvSpPr>
        <xdr:cNvPr id="41" name="กล่องข้อความ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a:solidFill>
                <a:schemeClr val="bg1"/>
              </a:solidFill>
              <a:latin typeface="Leelawadee" panose="020B0502040204020203" pitchFamily="34" charset="-34"/>
              <a:cs typeface="Leelawadee" panose="020B0502040204020203" pitchFamily="34" charset="-34"/>
            </a:rPr>
            <a:t>หมายเหตุ</a:t>
          </a:r>
        </a:p>
      </xdr:txBody>
    </xdr:sp>
    <xdr:clientData/>
  </xdr:twoCellAnchor>
  <xdr:twoCellAnchor>
    <xdr:from>
      <xdr:col>1</xdr:col>
      <xdr:colOff>0</xdr:colOff>
      <xdr:row>320</xdr:row>
      <xdr:rowOff>28574</xdr:rowOff>
    </xdr:from>
    <xdr:to>
      <xdr:col>15</xdr:col>
      <xdr:colOff>11049</xdr:colOff>
      <xdr:row>331</xdr:row>
      <xdr:rowOff>19050</xdr:rowOff>
    </xdr:to>
    <xdr:sp macro="" textlink="">
      <xdr:nvSpPr>
        <xdr:cNvPr id="43" name="สี่เหลี่ยม 42" title="บล็อกสีฤดูใบไม้ร่วงเบื้องหลังภาพ">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321</xdr:row>
      <xdr:rowOff>174347</xdr:rowOff>
    </xdr:from>
    <xdr:to>
      <xdr:col>10</xdr:col>
      <xdr:colOff>85725</xdr:colOff>
      <xdr:row>329</xdr:row>
      <xdr:rowOff>111401</xdr:rowOff>
    </xdr:to>
    <xdr:pic>
      <xdr:nvPicPr>
        <xdr:cNvPr id="44" name="รูปภาพ 43" descr="เด็กชายถือใบสวีทกัมสีแดงยื่นเข้าหากล้อง ใบไม้อยู่ในโฟกัส ส่วนเด็กชายและฉากหลังเบลอเล็กน้อย เมื่อต้องการเปลี่ยนรูปภาพนี้ ให้คลิกขวาที่รูปภาพ แล้วคลิก เปลี่ยนรูปภาพ" title="รูปภาพครอบครัวเดือนพฤศจิกายน">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320</xdr:row>
      <xdr:rowOff>200026</xdr:rowOff>
    </xdr:from>
    <xdr:to>
      <xdr:col>14</xdr:col>
      <xdr:colOff>190499</xdr:colOff>
      <xdr:row>330</xdr:row>
      <xdr:rowOff>28576</xdr:rowOff>
    </xdr:to>
    <xdr:sp macro="" textlink="">
      <xdr:nvSpPr>
        <xdr:cNvPr id="45" name="กล่องข้อความ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a:solidFill>
                <a:schemeClr val="bg1"/>
              </a:solidFill>
              <a:latin typeface="Leelawadee" panose="020B0502040204020203" pitchFamily="34" charset="-34"/>
              <a:cs typeface="Leelawadee" panose="020B0502040204020203" pitchFamily="34" charset="-34"/>
            </a:rPr>
            <a:t>หมายเหตุ</a:t>
          </a:r>
        </a:p>
      </xdr:txBody>
    </xdr:sp>
    <xdr:clientData/>
  </xdr:twoCellAnchor>
  <xdr:twoCellAnchor>
    <xdr:from>
      <xdr:col>1</xdr:col>
      <xdr:colOff>4064</xdr:colOff>
      <xdr:row>352</xdr:row>
      <xdr:rowOff>28573</xdr:rowOff>
    </xdr:from>
    <xdr:to>
      <xdr:col>15</xdr:col>
      <xdr:colOff>13737</xdr:colOff>
      <xdr:row>363</xdr:row>
      <xdr:rowOff>62992</xdr:rowOff>
    </xdr:to>
    <xdr:sp macro="" textlink="">
      <xdr:nvSpPr>
        <xdr:cNvPr id="59" name="สี่เหลี่ยม 58" title="บล็อกสีฤดูหนาวเบื้องหลังภาพ">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353</xdr:row>
      <xdr:rowOff>195417</xdr:rowOff>
    </xdr:from>
    <xdr:to>
      <xdr:col>10</xdr:col>
      <xdr:colOff>88770</xdr:colOff>
      <xdr:row>361</xdr:row>
      <xdr:rowOff>134274</xdr:rowOff>
    </xdr:to>
    <xdr:pic>
      <xdr:nvPicPr>
        <xdr:cNvPr id="60" name="รูปภาพ 59" descr="พ่อและลูกชายกลิ้งบอลหิมะลูกใหญ่ในสวนสาธารณะ เมื่อต้องการเปลี่ยนรูปภาพนี้ ให้คลิกขวาที่รูปภาพ แล้วคลิก เปลี่ยนรูปภาพ" title="รูปภาพครอบครัวเดือนธันวาคม">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352</xdr:row>
      <xdr:rowOff>219074</xdr:rowOff>
    </xdr:from>
    <xdr:to>
      <xdr:col>14</xdr:col>
      <xdr:colOff>153924</xdr:colOff>
      <xdr:row>362</xdr:row>
      <xdr:rowOff>49148</xdr:rowOff>
    </xdr:to>
    <xdr:sp macro="" textlink="">
      <xdr:nvSpPr>
        <xdr:cNvPr id="61" name="กล่องข้อความ 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600">
              <a:solidFill>
                <a:schemeClr val="bg1"/>
              </a:solidFill>
              <a:latin typeface="Leelawadee" panose="020B0502040204020203" pitchFamily="34" charset="-34"/>
              <a:cs typeface="Leelawadee" panose="020B0502040204020203" pitchFamily="34" charset="-34"/>
            </a:rPr>
            <a:t>หมายเหตุ</a:t>
          </a:r>
        </a:p>
      </xdr:txBody>
    </xdr:sp>
    <xdr:clientData/>
  </xdr:twoCellAnchor>
  <mc:AlternateContent xmlns:mc="http://schemas.openxmlformats.org/markup-compatibility/2006">
    <mc:Choice xmlns:a14="http://schemas.microsoft.com/office/drawing/2010/main" Requires="a14">
      <xdr:twoCellAnchor editAs="oneCell">
        <xdr:from>
          <xdr:col>15</xdr:col>
          <xdr:colOff>50800</xdr:colOff>
          <xdr:row>1</xdr:row>
          <xdr:rowOff>139700</xdr:rowOff>
        </xdr:from>
        <xdr:to>
          <xdr:col>16</xdr:col>
          <xdr:colOff>101600</xdr:colOff>
          <xdr:row>1</xdr:row>
          <xdr:rowOff>520700</xdr:rowOff>
        </xdr:to>
        <xdr:sp macro="" textlink="">
          <xdr:nvSpPr>
            <xdr:cNvPr id="1025" name="ตัวสปินเนอร์ 1" descr="ควบคุมตัวสปินเนอร์ ใช้ตัวสปินเนอร์เพื่อเปลี่ยนปีปฏิทินหรือพิมพ์ปีที่ต้องการในเซลล์ L2"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กล่องข้อความ 62">
          <a:extLst>
            <a:ext uri="{FF2B5EF4-FFF2-40B4-BE49-F238E27FC236}">
              <a16:creationId xmlns:a16="http://schemas.microsoft.com/office/drawing/2014/main" id="{00000000-0008-0000-0000-00003F000000}"/>
            </a:ext>
          </a:extLst>
        </xdr:cNvPr>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1000" b="1">
              <a:solidFill>
                <a:schemeClr val="accent1"/>
              </a:solidFill>
              <a:latin typeface="Leelawadee" panose="020B0502040204020203" pitchFamily="34" charset="-34"/>
              <a:cs typeface="Leelawadee" panose="020B0502040204020203" pitchFamily="34" charset="-34"/>
            </a:rPr>
            <a:t>คลิกตัวสปินเนอร์เพื่อ</a:t>
          </a:r>
          <a:endParaRPr lang="en-US" sz="1000" b="1">
            <a:solidFill>
              <a:schemeClr val="accent1"/>
            </a:solidFill>
            <a:latin typeface="Leelawadee" panose="020B0502040204020203" pitchFamily="34" charset="-34"/>
            <a:cs typeface="Leelawadee" panose="020B0502040204020203" pitchFamily="34" charset="-34"/>
          </a:endParaRPr>
        </a:p>
        <a:p>
          <a:pPr algn="l"/>
          <a:r>
            <a:rPr lang="th-TH" sz="1000" b="1">
              <a:solidFill>
                <a:schemeClr val="accent1"/>
              </a:solidFill>
              <a:latin typeface="Leelawadee" panose="020B0502040204020203" pitchFamily="34" charset="-34"/>
              <a:cs typeface="Leelawadee" panose="020B0502040204020203" pitchFamily="34" charset="-34"/>
            </a:rPr>
            <a:t>เปลี่ยนปีปฏิทิน</a:t>
          </a:r>
          <a:endParaRPr lang="en-US" sz="1000" b="1">
            <a:solidFill>
              <a:schemeClr val="accent1"/>
            </a:solidFill>
            <a:latin typeface="Leelawadee" panose="020B0502040204020203" pitchFamily="34" charset="-34"/>
            <a:cs typeface="Leelawadee" panose="020B0502040204020203" pitchFamily="34" charset="-34"/>
          </a:endParaRPr>
        </a:p>
      </xdr:txBody>
    </xdr:sp>
    <xdr:clientData fPrintsWithSheet="0"/>
  </xdr:twoCellAnchor>
  <xdr:twoCellAnchor editAs="oneCell">
    <xdr:from>
      <xdr:col>1</xdr:col>
      <xdr:colOff>120318</xdr:colOff>
      <xdr:row>2</xdr:row>
      <xdr:rowOff>133735</xdr:rowOff>
    </xdr:from>
    <xdr:to>
      <xdr:col>11</xdr:col>
      <xdr:colOff>213896</xdr:colOff>
      <xdr:row>12</xdr:row>
      <xdr:rowOff>167105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0"/>
        <a:stretch>
          <a:fillRect/>
        </a:stretch>
      </xdr:blipFill>
      <xdr:spPr>
        <a:xfrm>
          <a:off x="447844" y="1002682"/>
          <a:ext cx="4846052" cy="2306002"/>
        </a:xfrm>
        <a:prstGeom prst="rect">
          <a:avLst/>
        </a:prstGeom>
      </xdr:spPr>
    </xdr:pic>
    <xdr:clientData/>
  </xdr:twoCellAnchor>
  <xdr:twoCellAnchor editAs="oneCell">
    <xdr:from>
      <xdr:col>13</xdr:col>
      <xdr:colOff>13368</xdr:colOff>
      <xdr:row>13</xdr:row>
      <xdr:rowOff>334209</xdr:rowOff>
    </xdr:from>
    <xdr:to>
      <xdr:col>13</xdr:col>
      <xdr:colOff>225035</xdr:colOff>
      <xdr:row>15</xdr:row>
      <xdr:rowOff>46789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6162842" y="3703051"/>
          <a:ext cx="211667" cy="254001"/>
        </a:xfrm>
        <a:prstGeom prst="rect">
          <a:avLst/>
        </a:prstGeom>
      </xdr:spPr>
    </xdr:pic>
    <xdr:clientData/>
  </xdr:twoCellAnchor>
  <xdr:twoCellAnchor editAs="oneCell">
    <xdr:from>
      <xdr:col>13</xdr:col>
      <xdr:colOff>26737</xdr:colOff>
      <xdr:row>16</xdr:row>
      <xdr:rowOff>93578</xdr:rowOff>
    </xdr:from>
    <xdr:to>
      <xdr:col>13</xdr:col>
      <xdr:colOff>210553</xdr:colOff>
      <xdr:row>18</xdr:row>
      <xdr:rowOff>13368</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6176211" y="4705683"/>
          <a:ext cx="183816" cy="220580"/>
        </a:xfrm>
        <a:prstGeom prst="rect">
          <a:avLst/>
        </a:prstGeom>
      </xdr:spPr>
    </xdr:pic>
    <xdr:clientData/>
  </xdr:twoCellAnchor>
  <xdr:twoCellAnchor editAs="oneCell">
    <xdr:from>
      <xdr:col>3</xdr:col>
      <xdr:colOff>133684</xdr:colOff>
      <xdr:row>44</xdr:row>
      <xdr:rowOff>280738</xdr:rowOff>
    </xdr:from>
    <xdr:to>
      <xdr:col>3</xdr:col>
      <xdr:colOff>339780</xdr:colOff>
      <xdr:row>45</xdr:row>
      <xdr:rowOff>187158</xdr:rowOff>
    </xdr:to>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430421" y="13134475"/>
          <a:ext cx="206096" cy="247315"/>
        </a:xfrm>
        <a:prstGeom prst="rect">
          <a:avLst/>
        </a:prstGeom>
      </xdr:spPr>
    </xdr:pic>
    <xdr:clientData/>
  </xdr:twoCellAnchor>
  <xdr:twoCellAnchor editAs="oneCell">
    <xdr:from>
      <xdr:col>4</xdr:col>
      <xdr:colOff>147053</xdr:colOff>
      <xdr:row>47</xdr:row>
      <xdr:rowOff>40105</xdr:rowOff>
    </xdr:from>
    <xdr:to>
      <xdr:col>5</xdr:col>
      <xdr:colOff>199412</xdr:colOff>
      <xdr:row>48</xdr:row>
      <xdr:rowOff>187157</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2272632" y="14137105"/>
          <a:ext cx="206096" cy="247315"/>
        </a:xfrm>
        <a:prstGeom prst="rect">
          <a:avLst/>
        </a:prstGeom>
      </xdr:spPr>
    </xdr:pic>
    <xdr:clientData/>
  </xdr:twoCellAnchor>
  <xdr:twoCellAnchor editAs="oneCell">
    <xdr:from>
      <xdr:col>9</xdr:col>
      <xdr:colOff>13368</xdr:colOff>
      <xdr:row>50</xdr:row>
      <xdr:rowOff>66843</xdr:rowOff>
    </xdr:from>
    <xdr:to>
      <xdr:col>9</xdr:col>
      <xdr:colOff>219464</xdr:colOff>
      <xdr:row>52</xdr:row>
      <xdr:rowOff>13369</xdr:rowOff>
    </xdr:to>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4137526" y="15166475"/>
          <a:ext cx="206096" cy="247315"/>
        </a:xfrm>
        <a:prstGeom prst="rect">
          <a:avLst/>
        </a:prstGeom>
      </xdr:spPr>
    </xdr:pic>
    <xdr:clientData/>
  </xdr:twoCellAnchor>
  <xdr:twoCellAnchor editAs="oneCell">
    <xdr:from>
      <xdr:col>7</xdr:col>
      <xdr:colOff>1116</xdr:colOff>
      <xdr:row>80</xdr:row>
      <xdr:rowOff>73527</xdr:rowOff>
    </xdr:from>
    <xdr:to>
      <xdr:col>7</xdr:col>
      <xdr:colOff>207212</xdr:colOff>
      <xdr:row>82</xdr:row>
      <xdr:rowOff>20052</xdr:rowOff>
    </xdr:to>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3209537" y="24270369"/>
          <a:ext cx="206096" cy="247315"/>
        </a:xfrm>
        <a:prstGeom prst="rect">
          <a:avLst/>
        </a:prstGeom>
      </xdr:spPr>
    </xdr:pic>
    <xdr:clientData/>
  </xdr:twoCellAnchor>
  <xdr:twoCellAnchor editAs="oneCell">
    <xdr:from>
      <xdr:col>7</xdr:col>
      <xdr:colOff>0</xdr:colOff>
      <xdr:row>83</xdr:row>
      <xdr:rowOff>0</xdr:rowOff>
    </xdr:from>
    <xdr:to>
      <xdr:col>7</xdr:col>
      <xdr:colOff>206096</xdr:colOff>
      <xdr:row>84</xdr:row>
      <xdr:rowOff>147052</xdr:rowOff>
    </xdr:to>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3208421" y="25199474"/>
          <a:ext cx="206096" cy="247315"/>
        </a:xfrm>
        <a:prstGeom prst="rect">
          <a:avLst/>
        </a:prstGeom>
      </xdr:spPr>
    </xdr:pic>
    <xdr:clientData/>
  </xdr:twoCellAnchor>
  <xdr:twoCellAnchor editAs="oneCell">
    <xdr:from>
      <xdr:col>9</xdr:col>
      <xdr:colOff>26736</xdr:colOff>
      <xdr:row>86</xdr:row>
      <xdr:rowOff>80210</xdr:rowOff>
    </xdr:from>
    <xdr:to>
      <xdr:col>9</xdr:col>
      <xdr:colOff>232832</xdr:colOff>
      <xdr:row>88</xdr:row>
      <xdr:rowOff>26735</xdr:rowOff>
    </xdr:to>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4150894" y="26288999"/>
          <a:ext cx="206096" cy="247315"/>
        </a:xfrm>
        <a:prstGeom prst="rect">
          <a:avLst/>
        </a:prstGeom>
      </xdr:spPr>
    </xdr:pic>
    <xdr:clientData/>
  </xdr:twoCellAnchor>
  <xdr:twoCellAnchor editAs="oneCell">
    <xdr:from>
      <xdr:col>9</xdr:col>
      <xdr:colOff>74641</xdr:colOff>
      <xdr:row>109</xdr:row>
      <xdr:rowOff>280736</xdr:rowOff>
    </xdr:from>
    <xdr:to>
      <xdr:col>9</xdr:col>
      <xdr:colOff>280737</xdr:colOff>
      <xdr:row>110</xdr:row>
      <xdr:rowOff>187157</xdr:rowOff>
    </xdr:to>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4198799" y="33100210"/>
          <a:ext cx="206096" cy="247315"/>
        </a:xfrm>
        <a:prstGeom prst="rect">
          <a:avLst/>
        </a:prstGeom>
      </xdr:spPr>
    </xdr:pic>
    <xdr:clientData/>
  </xdr:twoCellAnchor>
  <xdr:twoCellAnchor editAs="oneCell">
    <xdr:from>
      <xdr:col>11</xdr:col>
      <xdr:colOff>60157</xdr:colOff>
      <xdr:row>115</xdr:row>
      <xdr:rowOff>53475</xdr:rowOff>
    </xdr:from>
    <xdr:to>
      <xdr:col>11</xdr:col>
      <xdr:colOff>266253</xdr:colOff>
      <xdr:row>117</xdr:row>
      <xdr:rowOff>0</xdr:rowOff>
    </xdr:to>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5140157" y="35118843"/>
          <a:ext cx="206096" cy="247315"/>
        </a:xfrm>
        <a:prstGeom prst="rect">
          <a:avLst/>
        </a:prstGeom>
      </xdr:spPr>
    </xdr:pic>
    <xdr:clientData/>
  </xdr:twoCellAnchor>
  <xdr:twoCellAnchor editAs="oneCell">
    <xdr:from>
      <xdr:col>13</xdr:col>
      <xdr:colOff>0</xdr:colOff>
      <xdr:row>118</xdr:row>
      <xdr:rowOff>53474</xdr:rowOff>
    </xdr:from>
    <xdr:to>
      <xdr:col>13</xdr:col>
      <xdr:colOff>206096</xdr:colOff>
      <xdr:row>119</xdr:row>
      <xdr:rowOff>200526</xdr:rowOff>
    </xdr:to>
    <xdr:pic>
      <xdr:nvPicPr>
        <xdr:cNvPr id="54" name="Pictur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6149474" y="36121474"/>
          <a:ext cx="206096" cy="247315"/>
        </a:xfrm>
        <a:prstGeom prst="rect">
          <a:avLst/>
        </a:prstGeom>
      </xdr:spPr>
    </xdr:pic>
    <xdr:clientData/>
  </xdr:twoCellAnchor>
  <xdr:twoCellAnchor editAs="oneCell">
    <xdr:from>
      <xdr:col>11</xdr:col>
      <xdr:colOff>0</xdr:colOff>
      <xdr:row>121</xdr:row>
      <xdr:rowOff>66842</xdr:rowOff>
    </xdr:from>
    <xdr:to>
      <xdr:col>11</xdr:col>
      <xdr:colOff>206096</xdr:colOff>
      <xdr:row>123</xdr:row>
      <xdr:rowOff>13368</xdr:rowOff>
    </xdr:to>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5080000" y="37137474"/>
          <a:ext cx="206096" cy="247315"/>
        </a:xfrm>
        <a:prstGeom prst="rect">
          <a:avLst/>
        </a:prstGeom>
      </xdr:spPr>
    </xdr:pic>
    <xdr:clientData/>
  </xdr:twoCellAnchor>
  <xdr:twoCellAnchor editAs="oneCell">
    <xdr:from>
      <xdr:col>3</xdr:col>
      <xdr:colOff>40105</xdr:colOff>
      <xdr:row>176</xdr:row>
      <xdr:rowOff>6684</xdr:rowOff>
    </xdr:from>
    <xdr:to>
      <xdr:col>3</xdr:col>
      <xdr:colOff>246201</xdr:colOff>
      <xdr:row>177</xdr:row>
      <xdr:rowOff>53472</xdr:rowOff>
    </xdr:to>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336842" y="53647473"/>
          <a:ext cx="206096" cy="247315"/>
        </a:xfrm>
        <a:prstGeom prst="rect">
          <a:avLst/>
        </a:prstGeom>
      </xdr:spPr>
    </xdr:pic>
    <xdr:clientData/>
  </xdr:twoCellAnchor>
  <xdr:twoCellAnchor editAs="oneCell">
    <xdr:from>
      <xdr:col>3</xdr:col>
      <xdr:colOff>100264</xdr:colOff>
      <xdr:row>178</xdr:row>
      <xdr:rowOff>80211</xdr:rowOff>
    </xdr:from>
    <xdr:to>
      <xdr:col>3</xdr:col>
      <xdr:colOff>306360</xdr:colOff>
      <xdr:row>180</xdr:row>
      <xdr:rowOff>26737</xdr:rowOff>
    </xdr:to>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397001" y="54623369"/>
          <a:ext cx="206096" cy="247315"/>
        </a:xfrm>
        <a:prstGeom prst="rect">
          <a:avLst/>
        </a:prstGeom>
      </xdr:spPr>
    </xdr:pic>
    <xdr:clientData/>
  </xdr:twoCellAnchor>
  <xdr:twoCellAnchor editAs="oneCell">
    <xdr:from>
      <xdr:col>3</xdr:col>
      <xdr:colOff>0</xdr:colOff>
      <xdr:row>183</xdr:row>
      <xdr:rowOff>0</xdr:rowOff>
    </xdr:from>
    <xdr:to>
      <xdr:col>3</xdr:col>
      <xdr:colOff>206096</xdr:colOff>
      <xdr:row>184</xdr:row>
      <xdr:rowOff>180474</xdr:rowOff>
    </xdr:to>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296737" y="56421421"/>
          <a:ext cx="206096" cy="280737"/>
        </a:xfrm>
        <a:prstGeom prst="rect">
          <a:avLst/>
        </a:prstGeom>
      </xdr:spPr>
    </xdr:pic>
    <xdr:clientData/>
  </xdr:twoCellAnchor>
  <xdr:twoCellAnchor editAs="oneCell">
    <xdr:from>
      <xdr:col>13</xdr:col>
      <xdr:colOff>46789</xdr:colOff>
      <xdr:row>143</xdr:row>
      <xdr:rowOff>73525</xdr:rowOff>
    </xdr:from>
    <xdr:to>
      <xdr:col>13</xdr:col>
      <xdr:colOff>252885</xdr:colOff>
      <xdr:row>145</xdr:row>
      <xdr:rowOff>20051</xdr:rowOff>
    </xdr:to>
    <xdr:pic>
      <xdr:nvPicPr>
        <xdr:cNvPr id="62" name="Pictur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6196263" y="43754841"/>
          <a:ext cx="206096" cy="247315"/>
        </a:xfrm>
        <a:prstGeom prst="rect">
          <a:avLst/>
        </a:prstGeom>
      </xdr:spPr>
    </xdr:pic>
    <xdr:clientData/>
  </xdr:twoCellAnchor>
  <xdr:twoCellAnchor editAs="oneCell">
    <xdr:from>
      <xdr:col>0</xdr:col>
      <xdr:colOff>327526</xdr:colOff>
      <xdr:row>153</xdr:row>
      <xdr:rowOff>0</xdr:rowOff>
    </xdr:from>
    <xdr:to>
      <xdr:col>1</xdr:col>
      <xdr:colOff>206096</xdr:colOff>
      <xdr:row>154</xdr:row>
      <xdr:rowOff>46789</xdr:rowOff>
    </xdr:to>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327526" y="46789474"/>
          <a:ext cx="206096" cy="247315"/>
        </a:xfrm>
        <a:prstGeom prst="rect">
          <a:avLst/>
        </a:prstGeom>
      </xdr:spPr>
    </xdr:pic>
    <xdr:clientData/>
  </xdr:twoCellAnchor>
  <xdr:twoCellAnchor editAs="oneCell">
    <xdr:from>
      <xdr:col>0</xdr:col>
      <xdr:colOff>327526</xdr:colOff>
      <xdr:row>155</xdr:row>
      <xdr:rowOff>53474</xdr:rowOff>
    </xdr:from>
    <xdr:to>
      <xdr:col>1</xdr:col>
      <xdr:colOff>206096</xdr:colOff>
      <xdr:row>156</xdr:row>
      <xdr:rowOff>200526</xdr:rowOff>
    </xdr:to>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327526" y="47745316"/>
          <a:ext cx="206096" cy="247315"/>
        </a:xfrm>
        <a:prstGeom prst="rect">
          <a:avLst/>
        </a:prstGeom>
      </xdr:spPr>
    </xdr:pic>
    <xdr:clientData/>
  </xdr:twoCellAnchor>
  <xdr:twoCellAnchor editAs="oneCell">
    <xdr:from>
      <xdr:col>5</xdr:col>
      <xdr:colOff>20051</xdr:colOff>
      <xdr:row>206</xdr:row>
      <xdr:rowOff>46789</xdr:rowOff>
    </xdr:from>
    <xdr:to>
      <xdr:col>5</xdr:col>
      <xdr:colOff>226147</xdr:colOff>
      <xdr:row>208</xdr:row>
      <xdr:rowOff>26737</xdr:rowOff>
    </xdr:to>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2299367" y="63319526"/>
          <a:ext cx="206096" cy="280737"/>
        </a:xfrm>
        <a:prstGeom prst="rect">
          <a:avLst/>
        </a:prstGeom>
      </xdr:spPr>
    </xdr:pic>
    <xdr:clientData/>
  </xdr:twoCellAnchor>
  <xdr:twoCellAnchor editAs="oneCell">
    <xdr:from>
      <xdr:col>7</xdr:col>
      <xdr:colOff>6685</xdr:colOff>
      <xdr:row>209</xdr:row>
      <xdr:rowOff>26737</xdr:rowOff>
    </xdr:from>
    <xdr:to>
      <xdr:col>7</xdr:col>
      <xdr:colOff>212781</xdr:colOff>
      <xdr:row>211</xdr:row>
      <xdr:rowOff>6684</xdr:rowOff>
    </xdr:to>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3215106" y="64302105"/>
          <a:ext cx="206096" cy="280737"/>
        </a:xfrm>
        <a:prstGeom prst="rect">
          <a:avLst/>
        </a:prstGeom>
      </xdr:spPr>
    </xdr:pic>
    <xdr:clientData/>
  </xdr:twoCellAnchor>
  <xdr:twoCellAnchor editAs="oneCell">
    <xdr:from>
      <xdr:col>7</xdr:col>
      <xdr:colOff>0</xdr:colOff>
      <xdr:row>212</xdr:row>
      <xdr:rowOff>0</xdr:rowOff>
    </xdr:from>
    <xdr:to>
      <xdr:col>7</xdr:col>
      <xdr:colOff>206096</xdr:colOff>
      <xdr:row>213</xdr:row>
      <xdr:rowOff>180474</xdr:rowOff>
    </xdr:to>
    <xdr:pic>
      <xdr:nvPicPr>
        <xdr:cNvPr id="68" name="Picture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3208421" y="65278000"/>
          <a:ext cx="206096" cy="280737"/>
        </a:xfrm>
        <a:prstGeom prst="rect">
          <a:avLst/>
        </a:prstGeom>
      </xdr:spPr>
    </xdr:pic>
    <xdr:clientData/>
  </xdr:twoCellAnchor>
  <xdr:twoCellAnchor editAs="oneCell">
    <xdr:from>
      <xdr:col>6</xdr:col>
      <xdr:colOff>93579</xdr:colOff>
      <xdr:row>215</xdr:row>
      <xdr:rowOff>6683</xdr:rowOff>
    </xdr:from>
    <xdr:to>
      <xdr:col>7</xdr:col>
      <xdr:colOff>199412</xdr:colOff>
      <xdr:row>216</xdr:row>
      <xdr:rowOff>187157</xdr:rowOff>
    </xdr:to>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3201737" y="66287315"/>
          <a:ext cx="206096" cy="280737"/>
        </a:xfrm>
        <a:prstGeom prst="rect">
          <a:avLst/>
        </a:prstGeom>
      </xdr:spPr>
    </xdr:pic>
    <xdr:clientData/>
  </xdr:twoCellAnchor>
  <xdr:twoCellAnchor editAs="oneCell">
    <xdr:from>
      <xdr:col>9</xdr:col>
      <xdr:colOff>46790</xdr:colOff>
      <xdr:row>235</xdr:row>
      <xdr:rowOff>300788</xdr:rowOff>
    </xdr:from>
    <xdr:to>
      <xdr:col>9</xdr:col>
      <xdr:colOff>252886</xdr:colOff>
      <xdr:row>237</xdr:row>
      <xdr:rowOff>40104</xdr:rowOff>
    </xdr:to>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4170948" y="72189472"/>
          <a:ext cx="206096" cy="280737"/>
        </a:xfrm>
        <a:prstGeom prst="rect">
          <a:avLst/>
        </a:prstGeom>
      </xdr:spPr>
    </xdr:pic>
    <xdr:clientData/>
  </xdr:twoCellAnchor>
  <xdr:twoCellAnchor editAs="oneCell">
    <xdr:from>
      <xdr:col>9</xdr:col>
      <xdr:colOff>0</xdr:colOff>
      <xdr:row>237</xdr:row>
      <xdr:rowOff>701842</xdr:rowOff>
    </xdr:from>
    <xdr:to>
      <xdr:col>9</xdr:col>
      <xdr:colOff>206096</xdr:colOff>
      <xdr:row>239</xdr:row>
      <xdr:rowOff>180473</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4124158" y="73131947"/>
          <a:ext cx="206096" cy="280737"/>
        </a:xfrm>
        <a:prstGeom prst="rect">
          <a:avLst/>
        </a:prstGeom>
      </xdr:spPr>
    </xdr:pic>
    <xdr:clientData/>
  </xdr:twoCellAnchor>
  <xdr:twoCellAnchor editAs="oneCell">
    <xdr:from>
      <xdr:col>13</xdr:col>
      <xdr:colOff>0</xdr:colOff>
      <xdr:row>244</xdr:row>
      <xdr:rowOff>0</xdr:rowOff>
    </xdr:from>
    <xdr:to>
      <xdr:col>13</xdr:col>
      <xdr:colOff>206096</xdr:colOff>
      <xdr:row>245</xdr:row>
      <xdr:rowOff>180474</xdr:rowOff>
    </xdr:to>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6149474" y="75137211"/>
          <a:ext cx="206096" cy="280737"/>
        </a:xfrm>
        <a:prstGeom prst="rect">
          <a:avLst/>
        </a:prstGeom>
      </xdr:spPr>
    </xdr:pic>
    <xdr:clientData/>
  </xdr:twoCellAnchor>
  <xdr:twoCellAnchor editAs="oneCell">
    <xdr:from>
      <xdr:col>9</xdr:col>
      <xdr:colOff>0</xdr:colOff>
      <xdr:row>250</xdr:row>
      <xdr:rowOff>93579</xdr:rowOff>
    </xdr:from>
    <xdr:to>
      <xdr:col>9</xdr:col>
      <xdr:colOff>206096</xdr:colOff>
      <xdr:row>252</xdr:row>
      <xdr:rowOff>73527</xdr:rowOff>
    </xdr:to>
    <xdr:pic>
      <xdr:nvPicPr>
        <xdr:cNvPr id="73" name="Picture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4124158" y="77236053"/>
          <a:ext cx="206096" cy="280737"/>
        </a:xfrm>
        <a:prstGeom prst="rect">
          <a:avLst/>
        </a:prstGeom>
      </xdr:spPr>
    </xdr:pic>
    <xdr:clientData/>
  </xdr:twoCellAnchor>
  <xdr:twoCellAnchor editAs="oneCell">
    <xdr:from>
      <xdr:col>11</xdr:col>
      <xdr:colOff>40105</xdr:colOff>
      <xdr:row>267</xdr:row>
      <xdr:rowOff>287420</xdr:rowOff>
    </xdr:from>
    <xdr:to>
      <xdr:col>11</xdr:col>
      <xdr:colOff>246201</xdr:colOff>
      <xdr:row>269</xdr:row>
      <xdr:rowOff>26736</xdr:rowOff>
    </xdr:to>
    <xdr:pic>
      <xdr:nvPicPr>
        <xdr:cNvPr id="74" name="Pictur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blip>
        <a:stretch>
          <a:fillRect/>
        </a:stretch>
      </xdr:blipFill>
      <xdr:spPr>
        <a:xfrm>
          <a:off x="5120105" y="82035315"/>
          <a:ext cx="206096" cy="280737"/>
        </a:xfrm>
        <a:prstGeom prst="rect">
          <a:avLst/>
        </a:prstGeom>
      </xdr:spPr>
    </xdr:pic>
    <xdr:clientData/>
  </xdr:twoCellAnchor>
  <xdr:twoCellAnchor editAs="oneCell">
    <xdr:from>
      <xdr:col>11</xdr:col>
      <xdr:colOff>0</xdr:colOff>
      <xdr:row>270</xdr:row>
      <xdr:rowOff>0</xdr:rowOff>
    </xdr:from>
    <xdr:to>
      <xdr:col>11</xdr:col>
      <xdr:colOff>206096</xdr:colOff>
      <xdr:row>271</xdr:row>
      <xdr:rowOff>180474</xdr:rowOff>
    </xdr:to>
    <xdr:pic>
      <xdr:nvPicPr>
        <xdr:cNvPr id="75" name="Picture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blip>
        <a:stretch>
          <a:fillRect/>
        </a:stretch>
      </xdr:blipFill>
      <xdr:spPr>
        <a:xfrm>
          <a:off x="5080000" y="82991158"/>
          <a:ext cx="206096" cy="280737"/>
        </a:xfrm>
        <a:prstGeom prst="rect">
          <a:avLst/>
        </a:prstGeom>
      </xdr:spPr>
    </xdr:pic>
    <xdr:clientData/>
  </xdr:twoCellAnchor>
  <xdr:twoCellAnchor editAs="oneCell">
    <xdr:from>
      <xdr:col>13</xdr:col>
      <xdr:colOff>0</xdr:colOff>
      <xdr:row>272</xdr:row>
      <xdr:rowOff>701842</xdr:rowOff>
    </xdr:from>
    <xdr:to>
      <xdr:col>13</xdr:col>
      <xdr:colOff>206096</xdr:colOff>
      <xdr:row>274</xdr:row>
      <xdr:rowOff>180473</xdr:rowOff>
    </xdr:to>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blip>
        <a:stretch>
          <a:fillRect/>
        </a:stretch>
      </xdr:blipFill>
      <xdr:spPr>
        <a:xfrm>
          <a:off x="6149474" y="83993789"/>
          <a:ext cx="206096" cy="280737"/>
        </a:xfrm>
        <a:prstGeom prst="rect">
          <a:avLst/>
        </a:prstGeom>
      </xdr:spPr>
    </xdr:pic>
    <xdr:clientData/>
  </xdr:twoCellAnchor>
  <xdr:twoCellAnchor editAs="oneCell">
    <xdr:from>
      <xdr:col>13</xdr:col>
      <xdr:colOff>0</xdr:colOff>
      <xdr:row>276</xdr:row>
      <xdr:rowOff>33421</xdr:rowOff>
    </xdr:from>
    <xdr:to>
      <xdr:col>13</xdr:col>
      <xdr:colOff>206096</xdr:colOff>
      <xdr:row>278</xdr:row>
      <xdr:rowOff>13368</xdr:rowOff>
    </xdr:to>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blip>
        <a:stretch>
          <a:fillRect/>
        </a:stretch>
      </xdr:blipFill>
      <xdr:spPr>
        <a:xfrm>
          <a:off x="6149474" y="85029842"/>
          <a:ext cx="206096" cy="280737"/>
        </a:xfrm>
        <a:prstGeom prst="rect">
          <a:avLst/>
        </a:prstGeom>
      </xdr:spPr>
    </xdr:pic>
    <xdr:clientData/>
  </xdr:twoCellAnchor>
  <xdr:twoCellAnchor editAs="oneCell">
    <xdr:from>
      <xdr:col>1</xdr:col>
      <xdr:colOff>40105</xdr:colOff>
      <xdr:row>302</xdr:row>
      <xdr:rowOff>60159</xdr:rowOff>
    </xdr:from>
    <xdr:to>
      <xdr:col>1</xdr:col>
      <xdr:colOff>246201</xdr:colOff>
      <xdr:row>304</xdr:row>
      <xdr:rowOff>0</xdr:rowOff>
    </xdr:to>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blip>
        <a:stretch>
          <a:fillRect/>
        </a:stretch>
      </xdr:blipFill>
      <xdr:spPr>
        <a:xfrm>
          <a:off x="367631" y="92910527"/>
          <a:ext cx="206096" cy="240631"/>
        </a:xfrm>
        <a:prstGeom prst="rect">
          <a:avLst/>
        </a:prstGeom>
      </xdr:spPr>
    </xdr:pic>
    <xdr:clientData/>
  </xdr:twoCellAnchor>
  <xdr:twoCellAnchor editAs="oneCell">
    <xdr:from>
      <xdr:col>1</xdr:col>
      <xdr:colOff>147054</xdr:colOff>
      <xdr:row>306</xdr:row>
      <xdr:rowOff>20053</xdr:rowOff>
    </xdr:from>
    <xdr:to>
      <xdr:col>1</xdr:col>
      <xdr:colOff>353150</xdr:colOff>
      <xdr:row>307</xdr:row>
      <xdr:rowOff>60158</xdr:rowOff>
    </xdr:to>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blip>
        <a:stretch>
          <a:fillRect/>
        </a:stretch>
      </xdr:blipFill>
      <xdr:spPr>
        <a:xfrm>
          <a:off x="474580" y="93973316"/>
          <a:ext cx="206096" cy="240631"/>
        </a:xfrm>
        <a:prstGeom prst="rect">
          <a:avLst/>
        </a:prstGeom>
      </xdr:spPr>
    </xdr:pic>
    <xdr:clientData/>
  </xdr:twoCellAnchor>
  <xdr:twoCellAnchor editAs="oneCell">
    <xdr:from>
      <xdr:col>1</xdr:col>
      <xdr:colOff>86896</xdr:colOff>
      <xdr:row>311</xdr:row>
      <xdr:rowOff>33421</xdr:rowOff>
    </xdr:from>
    <xdr:to>
      <xdr:col>1</xdr:col>
      <xdr:colOff>292992</xdr:colOff>
      <xdr:row>312</xdr:row>
      <xdr:rowOff>173789</xdr:rowOff>
    </xdr:to>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blip>
        <a:stretch>
          <a:fillRect/>
        </a:stretch>
      </xdr:blipFill>
      <xdr:spPr>
        <a:xfrm>
          <a:off x="414422" y="95891684"/>
          <a:ext cx="206096" cy="240631"/>
        </a:xfrm>
        <a:prstGeom prst="rect">
          <a:avLst/>
        </a:prstGeom>
      </xdr:spPr>
    </xdr:pic>
    <xdr:clientData/>
  </xdr:twoCellAnchor>
  <xdr:twoCellAnchor editAs="oneCell">
    <xdr:from>
      <xdr:col>3</xdr:col>
      <xdr:colOff>0</xdr:colOff>
      <xdr:row>331</xdr:row>
      <xdr:rowOff>300790</xdr:rowOff>
    </xdr:from>
    <xdr:to>
      <xdr:col>3</xdr:col>
      <xdr:colOff>206096</xdr:colOff>
      <xdr:row>333</xdr:row>
      <xdr:rowOff>0</xdr:rowOff>
    </xdr:to>
    <xdr:pic>
      <xdr:nvPicPr>
        <xdr:cNvPr id="83" name="Pictur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blip>
        <a:stretch>
          <a:fillRect/>
        </a:stretch>
      </xdr:blipFill>
      <xdr:spPr>
        <a:xfrm>
          <a:off x="1296737" y="101767106"/>
          <a:ext cx="206096" cy="240631"/>
        </a:xfrm>
        <a:prstGeom prst="rect">
          <a:avLst/>
        </a:prstGeom>
      </xdr:spPr>
    </xdr:pic>
    <xdr:clientData/>
  </xdr:twoCellAnchor>
  <xdr:twoCellAnchor editAs="oneCell">
    <xdr:from>
      <xdr:col>7</xdr:col>
      <xdr:colOff>53474</xdr:colOff>
      <xdr:row>363</xdr:row>
      <xdr:rowOff>334212</xdr:rowOff>
    </xdr:from>
    <xdr:to>
      <xdr:col>7</xdr:col>
      <xdr:colOff>259570</xdr:colOff>
      <xdr:row>365</xdr:row>
      <xdr:rowOff>33422</xdr:rowOff>
    </xdr:to>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3261895" y="111512686"/>
          <a:ext cx="206096" cy="240631"/>
        </a:xfrm>
        <a:prstGeom prst="rect">
          <a:avLst/>
        </a:prstGeom>
      </xdr:spPr>
    </xdr:pic>
    <xdr:clientData/>
  </xdr:twoCellAnchor>
  <xdr:twoCellAnchor editAs="oneCell">
    <xdr:from>
      <xdr:col>7</xdr:col>
      <xdr:colOff>0</xdr:colOff>
      <xdr:row>372</xdr:row>
      <xdr:rowOff>0</xdr:rowOff>
    </xdr:from>
    <xdr:to>
      <xdr:col>7</xdr:col>
      <xdr:colOff>206096</xdr:colOff>
      <xdr:row>373</xdr:row>
      <xdr:rowOff>140368</xdr:rowOff>
    </xdr:to>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3208421" y="114427000"/>
          <a:ext cx="206096" cy="240631"/>
        </a:xfrm>
        <a:prstGeom prst="rect">
          <a:avLst/>
        </a:prstGeom>
      </xdr:spPr>
    </xdr:pic>
    <xdr:clientData/>
  </xdr:twoCellAnchor>
  <xdr:twoCellAnchor editAs="oneCell">
    <xdr:from>
      <xdr:col>9</xdr:col>
      <xdr:colOff>0</xdr:colOff>
      <xdr:row>375</xdr:row>
      <xdr:rowOff>60158</xdr:rowOff>
    </xdr:from>
    <xdr:to>
      <xdr:col>9</xdr:col>
      <xdr:colOff>206096</xdr:colOff>
      <xdr:row>377</xdr:row>
      <xdr:rowOff>0</xdr:rowOff>
    </xdr:to>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4124158" y="115489790"/>
          <a:ext cx="206096" cy="240631"/>
        </a:xfrm>
        <a:prstGeom prst="rect">
          <a:avLst/>
        </a:prstGeom>
      </xdr:spPr>
    </xdr:pic>
    <xdr:clientData/>
  </xdr:twoCellAnchor>
  <xdr:twoCellAnchor editAs="oneCell">
    <xdr:from>
      <xdr:col>5</xdr:col>
      <xdr:colOff>0</xdr:colOff>
      <xdr:row>340</xdr:row>
      <xdr:rowOff>60159</xdr:rowOff>
    </xdr:from>
    <xdr:to>
      <xdr:col>5</xdr:col>
      <xdr:colOff>206096</xdr:colOff>
      <xdr:row>342</xdr:row>
      <xdr:rowOff>0</xdr:rowOff>
    </xdr:to>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blip>
        <a:stretch>
          <a:fillRect/>
        </a:stretch>
      </xdr:blipFill>
      <xdr:spPr>
        <a:xfrm>
          <a:off x="2279316" y="104775001"/>
          <a:ext cx="206096" cy="240631"/>
        </a:xfrm>
        <a:prstGeom prst="rect">
          <a:avLst/>
        </a:prstGeom>
      </xdr:spPr>
    </xdr:pic>
    <xdr:clientData/>
  </xdr:twoCellAnchor>
  <xdr:twoCellAnchor editAs="oneCell">
    <xdr:from>
      <xdr:col>3</xdr:col>
      <xdr:colOff>14482</xdr:colOff>
      <xdr:row>308</xdr:row>
      <xdr:rowOff>53472</xdr:rowOff>
    </xdr:from>
    <xdr:to>
      <xdr:col>3</xdr:col>
      <xdr:colOff>220578</xdr:colOff>
      <xdr:row>309</xdr:row>
      <xdr:rowOff>193840</xdr:rowOff>
    </xdr:to>
    <xdr:pic>
      <xdr:nvPicPr>
        <xdr:cNvPr id="88" name="Picture 87">
          <a:extLst>
            <a:ext uri="{FF2B5EF4-FFF2-40B4-BE49-F238E27FC236}">
              <a16:creationId xmlns:a16="http://schemas.microsoft.com/office/drawing/2014/main" id="{450C3B83-5711-6640-81F7-48B4BABDD60D}"/>
            </a:ext>
          </a:extLst>
        </xdr:cNvPr>
        <xdr:cNvPicPr>
          <a:picLocks noChangeAspect="1"/>
        </xdr:cNvPicPr>
      </xdr:nvPicPr>
      <xdr:blipFill>
        <a:blip xmlns:r="http://schemas.openxmlformats.org/officeDocument/2006/relationships" r:embed="rId1">
          <a:duotone>
            <a:prstClr val="black"/>
            <a:schemeClr val="accent2">
              <a:tint val="45000"/>
              <a:satMod val="400000"/>
            </a:schemeClr>
          </a:duotone>
        </a:blip>
        <a:stretch>
          <a:fillRect/>
        </a:stretch>
      </xdr:blipFill>
      <xdr:spPr>
        <a:xfrm>
          <a:off x="1311219" y="94909104"/>
          <a:ext cx="206096" cy="240631"/>
        </a:xfrm>
        <a:prstGeom prst="rect">
          <a:avLst/>
        </a:prstGeom>
      </xdr:spPr>
    </xdr:pic>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autoPageBreaks="0"/>
  </sheetPr>
  <dimension ref="A2:V382"/>
  <sheetViews>
    <sheetView showGridLines="0" tabSelected="1" topLeftCell="A375" zoomScale="190" zoomScaleNormal="190" workbookViewId="0">
      <selection activeCell="B378" sqref="B378:C381"/>
    </sheetView>
  </sheetViews>
  <sheetFormatPr baseColWidth="10" defaultColWidth="6.7109375" defaultRowHeight="14" x14ac:dyDescent="0.2"/>
  <cols>
    <col min="1" max="1" width="3.7109375" style="3" customWidth="1"/>
    <col min="2" max="2" width="9.28515625" style="144" customWidth="1"/>
    <col min="3" max="3" width="1.5703125" style="3" customWidth="1"/>
    <col min="4" max="4" width="9.28515625" style="3" customWidth="1"/>
    <col min="5" max="5" width="1.7109375" style="3" customWidth="1"/>
    <col min="6" max="6" width="9.28515625" style="3" customWidth="1"/>
    <col min="7" max="7" width="1.140625" style="3" customWidth="1"/>
    <col min="8" max="8" width="9.28515625" style="3" customWidth="1"/>
    <col min="9" max="9" width="1" style="3" customWidth="1"/>
    <col min="10" max="10" width="9.28515625" style="3" customWidth="1"/>
    <col min="11" max="11" width="1.42578125" style="3" customWidth="1"/>
    <col min="12" max="12" width="7.140625" style="3" customWidth="1"/>
    <col min="13" max="13" width="2.7109375" style="3" customWidth="1"/>
    <col min="14" max="14" width="9.28515625" style="3" customWidth="1"/>
    <col min="15" max="15" width="2.7109375" style="3" customWidth="1"/>
    <col min="16" max="16" width="1.28515625" style="3" customWidth="1"/>
    <col min="17" max="17" width="3.140625" style="3" customWidth="1"/>
    <col min="18" max="16384" width="6.7109375" style="3"/>
  </cols>
  <sheetData>
    <row r="2" spans="1:22" ht="54" customHeight="1" x14ac:dyDescent="0.2">
      <c r="A2" s="108" t="str">
        <f>TEXT(DATE(CalendarYear,1,1),"[$-D07041E]mmmm")</f>
        <v>มกราคม</v>
      </c>
      <c r="B2" s="108"/>
      <c r="C2" s="108"/>
      <c r="D2" s="108"/>
      <c r="E2" s="108"/>
      <c r="F2" s="108"/>
      <c r="G2" s="108"/>
      <c r="H2" s="1"/>
      <c r="I2" s="2"/>
      <c r="J2" s="2"/>
      <c r="L2" s="107">
        <v>2565</v>
      </c>
      <c r="M2" s="107"/>
      <c r="N2" s="107"/>
      <c r="O2" s="107"/>
      <c r="P2" s="107"/>
    </row>
    <row r="3" spans="1:22" ht="18.75" customHeight="1" x14ac:dyDescent="0.3">
      <c r="A3" s="4"/>
      <c r="B3" s="141"/>
      <c r="C3" s="2"/>
      <c r="D3" s="2"/>
      <c r="E3" s="2"/>
      <c r="F3" s="2"/>
      <c r="G3" s="2"/>
      <c r="H3" s="2"/>
      <c r="I3" s="2"/>
      <c r="J3" s="2"/>
    </row>
    <row r="4" spans="1:22" ht="18.75" customHeight="1" x14ac:dyDescent="0.3">
      <c r="A4" s="4"/>
      <c r="B4" s="141"/>
      <c r="C4" s="2"/>
      <c r="D4" s="2"/>
      <c r="E4" s="2"/>
      <c r="F4" s="2"/>
      <c r="G4" s="2"/>
      <c r="H4" s="2"/>
      <c r="I4" s="2"/>
      <c r="J4" s="2"/>
    </row>
    <row r="5" spans="1:22" ht="18.75" customHeight="1" x14ac:dyDescent="0.3">
      <c r="A5" s="4"/>
      <c r="B5" s="141"/>
      <c r="C5" s="2"/>
      <c r="D5" s="2"/>
      <c r="E5" s="2"/>
      <c r="F5" s="2"/>
      <c r="G5" s="2"/>
      <c r="H5" s="2"/>
      <c r="I5" s="2"/>
      <c r="J5" s="2"/>
    </row>
    <row r="6" spans="1:22" ht="18.75" customHeight="1" x14ac:dyDescent="0.3">
      <c r="A6" s="4"/>
      <c r="B6" s="141"/>
      <c r="C6" s="2"/>
      <c r="D6" s="2"/>
      <c r="E6" s="2"/>
      <c r="F6" s="2"/>
      <c r="G6" s="2"/>
      <c r="H6" s="2"/>
      <c r="I6" s="2"/>
      <c r="J6" s="2"/>
    </row>
    <row r="7" spans="1:22" ht="18.75" customHeight="1" x14ac:dyDescent="0.3">
      <c r="A7" s="4"/>
      <c r="B7" s="141"/>
      <c r="C7" s="2"/>
      <c r="D7" s="2"/>
      <c r="E7" s="2"/>
      <c r="F7" s="2"/>
      <c r="G7" s="2"/>
      <c r="H7" s="2"/>
      <c r="I7" s="2"/>
      <c r="J7" s="2"/>
    </row>
    <row r="8" spans="1:22" ht="18.75" customHeight="1" x14ac:dyDescent="0.3">
      <c r="A8" s="4"/>
      <c r="B8" s="141"/>
      <c r="C8" s="2"/>
      <c r="D8" s="2"/>
      <c r="E8" s="2"/>
      <c r="F8" s="2"/>
      <c r="G8" s="2"/>
      <c r="H8" s="2"/>
      <c r="I8" s="2"/>
      <c r="J8" s="2"/>
    </row>
    <row r="9" spans="1:22" ht="18.75" customHeight="1" x14ac:dyDescent="0.3">
      <c r="A9" s="4"/>
      <c r="B9" s="141"/>
      <c r="C9" s="2"/>
      <c r="D9" s="2"/>
      <c r="E9" s="2"/>
      <c r="F9" s="2"/>
      <c r="G9" s="2"/>
      <c r="H9" s="2"/>
      <c r="I9" s="2"/>
      <c r="J9" s="2"/>
    </row>
    <row r="10" spans="1:22" ht="18.75" customHeight="1" x14ac:dyDescent="0.3">
      <c r="A10" s="4"/>
      <c r="B10" s="141"/>
      <c r="C10" s="2"/>
      <c r="D10" s="2"/>
      <c r="E10" s="2"/>
      <c r="F10" s="2"/>
      <c r="G10" s="2"/>
      <c r="H10" s="2"/>
      <c r="I10" s="2"/>
      <c r="J10" s="2"/>
    </row>
    <row r="11" spans="1:22" ht="18.75" customHeight="1" x14ac:dyDescent="0.3">
      <c r="A11" s="4"/>
      <c r="B11" s="141"/>
      <c r="C11" s="2"/>
      <c r="D11" s="2"/>
      <c r="E11" s="2"/>
      <c r="F11" s="2"/>
      <c r="G11" s="2"/>
      <c r="H11" s="2"/>
      <c r="I11" s="2"/>
      <c r="J11" s="2"/>
    </row>
    <row r="12" spans="1:22" ht="18.75" customHeight="1" x14ac:dyDescent="0.3">
      <c r="A12" s="4"/>
      <c r="B12" s="141"/>
      <c r="C12" s="2"/>
      <c r="D12" s="2"/>
      <c r="E12" s="2"/>
      <c r="F12" s="2"/>
      <c r="G12" s="2"/>
      <c r="H12" s="2"/>
      <c r="I12" s="2"/>
      <c r="J12" s="2"/>
    </row>
    <row r="13" spans="1:22" ht="18.75" customHeight="1" x14ac:dyDescent="0.2">
      <c r="A13" s="5"/>
      <c r="B13" s="142"/>
      <c r="C13" s="6"/>
      <c r="D13" s="6"/>
      <c r="E13" s="6"/>
      <c r="F13" s="6"/>
      <c r="G13" s="6"/>
      <c r="H13" s="6"/>
      <c r="I13" s="6"/>
      <c r="J13" s="6"/>
      <c r="K13" s="6"/>
      <c r="L13" s="6"/>
      <c r="M13" s="6"/>
      <c r="N13" s="6"/>
      <c r="O13" s="6"/>
    </row>
    <row r="14" spans="1:22" s="5" customFormat="1" ht="27" customHeight="1" x14ac:dyDescent="0.2">
      <c r="B14" s="140" t="s">
        <v>6</v>
      </c>
      <c r="C14" s="97"/>
      <c r="D14" s="96" t="s">
        <v>5</v>
      </c>
      <c r="E14" s="96"/>
      <c r="F14" s="96" t="s">
        <v>4</v>
      </c>
      <c r="G14" s="96"/>
      <c r="H14" s="96" t="s">
        <v>3</v>
      </c>
      <c r="I14" s="96"/>
      <c r="J14" s="96" t="s">
        <v>2</v>
      </c>
      <c r="K14" s="96"/>
      <c r="L14" s="96" t="s">
        <v>1</v>
      </c>
      <c r="M14" s="96"/>
      <c r="N14" s="96" t="s">
        <v>0</v>
      </c>
      <c r="O14" s="96"/>
      <c r="P14" s="3"/>
      <c r="Q14" s="7"/>
      <c r="U14" s="3"/>
      <c r="V14" s="3"/>
    </row>
    <row r="15" spans="1:22" s="8" customFormat="1" ht="16.5" customHeight="1" x14ac:dyDescent="0.2">
      <c r="B15" s="146">
        <f>IF(DAY(JanSun1)=1,JanSun1-6,JanSun1+1)</f>
        <v>44557</v>
      </c>
      <c r="C15" s="86"/>
      <c r="D15" s="87">
        <f>IF(DAY(JanSun1)=1,JanSun1-5,JanSun1+2)</f>
        <v>44558</v>
      </c>
      <c r="E15" s="86"/>
      <c r="F15" s="87">
        <f>IF(DAY(JanSun1)=1,JanSun1-4,JanSun1+3)</f>
        <v>44559</v>
      </c>
      <c r="G15" s="86"/>
      <c r="H15" s="87">
        <f>IF(DAY(JanSun1)=1,JanSun1-3,JanSun1+4)</f>
        <v>44560</v>
      </c>
      <c r="I15" s="86"/>
      <c r="J15" s="87">
        <f>IF(DAY(JanSun1)=1,JanSun1-2,JanSun1+5)</f>
        <v>44561</v>
      </c>
      <c r="K15" s="86"/>
      <c r="L15" s="87">
        <f>IF(DAY(JanSun1)=1,JanSun1-1,JanSun1+6)</f>
        <v>44562</v>
      </c>
      <c r="M15" s="86"/>
      <c r="N15" s="87">
        <f>IF(DAY(JanSun1)=1,JanSun1,JanSun1+7)</f>
        <v>44563</v>
      </c>
      <c r="O15" s="86"/>
      <c r="P15" s="9"/>
      <c r="Q15" s="9"/>
      <c r="U15" s="10"/>
      <c r="V15" s="9"/>
    </row>
    <row r="16" spans="1:22" s="11" customFormat="1" ht="55.5" customHeight="1" x14ac:dyDescent="0.2">
      <c r="A16" s="5"/>
      <c r="B16" s="147"/>
      <c r="C16" s="57"/>
      <c r="D16" s="57"/>
      <c r="E16" s="57"/>
      <c r="F16" s="57"/>
      <c r="G16" s="57"/>
      <c r="H16" s="57"/>
      <c r="I16" s="57"/>
      <c r="J16" s="57"/>
      <c r="K16" s="57"/>
      <c r="L16" s="94" t="s">
        <v>11</v>
      </c>
      <c r="M16" s="94"/>
      <c r="N16" s="94"/>
      <c r="O16" s="94"/>
    </row>
    <row r="17" spans="1:15" s="11" customFormat="1" ht="8.25" customHeight="1" x14ac:dyDescent="0.2">
      <c r="A17" s="5"/>
      <c r="B17" s="148"/>
      <c r="C17" s="149"/>
      <c r="D17" s="59"/>
      <c r="E17" s="59"/>
      <c r="F17" s="59"/>
      <c r="G17" s="59"/>
      <c r="H17" s="59"/>
      <c r="I17" s="59"/>
      <c r="J17" s="59"/>
      <c r="K17" s="59"/>
      <c r="L17" s="85"/>
      <c r="M17" s="85"/>
      <c r="N17" s="85"/>
      <c r="O17" s="85"/>
    </row>
    <row r="18" spans="1:15" s="9" customFormat="1" ht="16.5" customHeight="1" x14ac:dyDescent="0.2">
      <c r="A18" s="8"/>
      <c r="B18" s="146">
        <f>IF(DAY(JanSun1)=1,JanSun1+1,JanSun1+8)</f>
        <v>44564</v>
      </c>
      <c r="C18" s="86"/>
      <c r="D18" s="87">
        <f>IF(DAY(JanSun1)=1,JanSun1+2,JanSun1+9)</f>
        <v>44565</v>
      </c>
      <c r="E18" s="86"/>
      <c r="F18" s="87">
        <f>IF(DAY(JanSun1)=1,JanSun1+3,JanSun1+10)</f>
        <v>44566</v>
      </c>
      <c r="G18" s="86"/>
      <c r="H18" s="87">
        <f>IF(DAY(JanSun1)=1,JanSun1+4,JanSun1+11)</f>
        <v>44567</v>
      </c>
      <c r="I18" s="86"/>
      <c r="J18" s="87">
        <f>IF(DAY(JanSun1)=1,JanSun1+5,JanSun1+12)</f>
        <v>44568</v>
      </c>
      <c r="K18" s="86"/>
      <c r="L18" s="87">
        <f>IF(DAY(JanSun1)=1,JanSun1+6,JanSun1+13)</f>
        <v>44569</v>
      </c>
      <c r="M18" s="86"/>
      <c r="N18" s="88">
        <f>IF(DAY(JanSun1)=1,JanSun1+7,JanSun1+14)</f>
        <v>44570</v>
      </c>
      <c r="O18" s="89"/>
    </row>
    <row r="19" spans="1:15" ht="55.5" customHeight="1" x14ac:dyDescent="0.2">
      <c r="A19" s="5"/>
      <c r="B19" s="150" t="s">
        <v>12</v>
      </c>
      <c r="C19" s="138"/>
      <c r="D19" s="57"/>
      <c r="E19" s="57"/>
      <c r="F19" s="57"/>
      <c r="G19" s="57"/>
      <c r="H19" s="57"/>
      <c r="I19" s="57"/>
      <c r="J19" s="57"/>
      <c r="K19" s="57"/>
      <c r="L19" s="94"/>
      <c r="M19" s="94"/>
      <c r="N19" s="94"/>
      <c r="O19" s="94"/>
    </row>
    <row r="20" spans="1:15" ht="8.25" customHeight="1" x14ac:dyDescent="0.2">
      <c r="A20" s="5"/>
      <c r="B20" s="151"/>
      <c r="C20" s="59"/>
      <c r="D20" s="59"/>
      <c r="E20" s="59"/>
      <c r="F20" s="59"/>
      <c r="G20" s="59"/>
      <c r="H20" s="59"/>
      <c r="I20" s="59"/>
      <c r="J20" s="59"/>
      <c r="K20" s="59"/>
      <c r="L20" s="85"/>
      <c r="M20" s="85"/>
      <c r="N20" s="85"/>
      <c r="O20" s="85"/>
    </row>
    <row r="21" spans="1:15" s="9" customFormat="1" ht="16.5" customHeight="1" x14ac:dyDescent="0.2">
      <c r="A21" s="8"/>
      <c r="B21" s="146">
        <f>IF(DAY(JanSun1)=1,JanSun1+8,JanSun1+15)</f>
        <v>44571</v>
      </c>
      <c r="C21" s="86"/>
      <c r="D21" s="87">
        <f>IF(DAY(JanSun1)=1,JanSun1+9,JanSun1+16)</f>
        <v>44572</v>
      </c>
      <c r="E21" s="86"/>
      <c r="F21" s="87">
        <f>IF(DAY(JanSun1)=1,JanSun1+10,JanSun1+17)</f>
        <v>44573</v>
      </c>
      <c r="G21" s="86"/>
      <c r="H21" s="87">
        <f>IF(DAY(JanSun1)=1,JanSun1+11,JanSun1+18)</f>
        <v>44574</v>
      </c>
      <c r="I21" s="86"/>
      <c r="J21" s="87">
        <f>IF(DAY(JanSun1)=1,JanSun1+12,JanSun1+19)</f>
        <v>44575</v>
      </c>
      <c r="K21" s="86"/>
      <c r="L21" s="87">
        <f>IF(DAY(JanSun1)=1,JanSun1+13,JanSun1+20)</f>
        <v>44576</v>
      </c>
      <c r="M21" s="86"/>
      <c r="N21" s="87">
        <f>IF(DAY(JanSun1)=1,JanSun1+14,JanSun1+21)</f>
        <v>44577</v>
      </c>
      <c r="O21" s="86"/>
    </row>
    <row r="22" spans="1:15" ht="55.5" customHeight="1" x14ac:dyDescent="0.2">
      <c r="A22" s="5"/>
      <c r="B22" s="147"/>
      <c r="C22" s="57"/>
      <c r="D22" s="57"/>
      <c r="E22" s="57"/>
      <c r="F22" s="57"/>
      <c r="G22" s="57"/>
      <c r="H22" s="57"/>
      <c r="I22" s="57"/>
      <c r="J22" s="57" t="s">
        <v>7</v>
      </c>
      <c r="K22" s="57"/>
      <c r="L22" s="94"/>
      <c r="M22" s="94"/>
      <c r="N22" s="94" t="s">
        <v>8</v>
      </c>
      <c r="O22" s="94"/>
    </row>
    <row r="23" spans="1:15" ht="8.25" customHeight="1" x14ac:dyDescent="0.2">
      <c r="A23" s="5"/>
      <c r="B23" s="151"/>
      <c r="C23" s="59"/>
      <c r="D23" s="59"/>
      <c r="E23" s="59"/>
      <c r="F23" s="59"/>
      <c r="G23" s="59"/>
      <c r="H23" s="23"/>
      <c r="I23" s="23"/>
      <c r="J23" s="59"/>
      <c r="K23" s="59"/>
      <c r="L23" s="85"/>
      <c r="M23" s="85"/>
      <c r="N23" s="85"/>
      <c r="O23" s="85"/>
    </row>
    <row r="24" spans="1:15" s="9" customFormat="1" ht="16.5" customHeight="1" x14ac:dyDescent="0.2">
      <c r="A24" s="8"/>
      <c r="B24" s="146">
        <f>IF(DAY(JanSun1)=1,JanSun1+15,JanSun1+22)</f>
        <v>44578</v>
      </c>
      <c r="C24" s="86"/>
      <c r="D24" s="87">
        <f>IF(DAY(JanSun1)=1,JanSun1+16,JanSun1+23)</f>
        <v>44579</v>
      </c>
      <c r="E24" s="86"/>
      <c r="F24" s="87">
        <f>IF(DAY(JanSun1)=1,JanSun1+17,JanSun1+24)</f>
        <v>44580</v>
      </c>
      <c r="G24" s="86"/>
      <c r="H24" s="18">
        <f>IF(DAY(JanSun1)=1,JanSun1+18,JanSun1+25)</f>
        <v>44581</v>
      </c>
      <c r="I24" s="19"/>
      <c r="J24" s="87">
        <f>IF(DAY(JanSun1)=1,JanSun1+19,JanSun1+26)</f>
        <v>44582</v>
      </c>
      <c r="K24" s="86"/>
      <c r="L24" s="87">
        <f>IF(DAY(JanSun1)=1,JanSun1+20,JanSun1+27)</f>
        <v>44583</v>
      </c>
      <c r="M24" s="86"/>
      <c r="N24" s="87">
        <f>IF(DAY(JanSun1)=1,JanSun1+21,JanSun1+28)</f>
        <v>44584</v>
      </c>
      <c r="O24" s="86"/>
    </row>
    <row r="25" spans="1:15" ht="55.5" customHeight="1" x14ac:dyDescent="0.2">
      <c r="A25" s="5"/>
      <c r="B25" s="147" t="s">
        <v>9</v>
      </c>
      <c r="C25" s="57"/>
      <c r="D25" s="57" t="s">
        <v>10</v>
      </c>
      <c r="E25" s="57"/>
      <c r="F25" s="57"/>
      <c r="G25" s="137"/>
      <c r="H25" s="38"/>
      <c r="I25" s="23"/>
      <c r="J25" s="90"/>
      <c r="K25" s="57"/>
      <c r="L25" s="94"/>
      <c r="M25" s="94"/>
      <c r="N25" s="94"/>
      <c r="O25" s="94"/>
    </row>
    <row r="26" spans="1:15" ht="8.25" customHeight="1" x14ac:dyDescent="0.2">
      <c r="A26" s="5"/>
      <c r="B26" s="151"/>
      <c r="C26" s="59"/>
      <c r="D26" s="59"/>
      <c r="E26" s="59"/>
      <c r="F26" s="59"/>
      <c r="G26" s="59"/>
      <c r="H26" s="38"/>
      <c r="I26" s="23"/>
      <c r="J26" s="59"/>
      <c r="K26" s="59"/>
      <c r="L26" s="85"/>
      <c r="M26" s="85"/>
      <c r="N26" s="85"/>
      <c r="O26" s="85"/>
    </row>
    <row r="27" spans="1:15" s="9" customFormat="1" ht="16.5" customHeight="1" x14ac:dyDescent="0.2">
      <c r="A27" s="8"/>
      <c r="B27" s="146">
        <f>IF(DAY(JanSun1)=1,JanSun1+22,JanSun1+29)</f>
        <v>44585</v>
      </c>
      <c r="C27" s="86"/>
      <c r="D27" s="87">
        <f>IF(DAY(JanSun1)=1,JanSun1+23,JanSun1+30)</f>
        <v>44586</v>
      </c>
      <c r="E27" s="86"/>
      <c r="F27" s="87">
        <f>IF(DAY(JanSun1)=1,JanSun1+24,JanSun1+31)</f>
        <v>44587</v>
      </c>
      <c r="G27" s="86"/>
      <c r="H27" s="37">
        <f>IF(DAY(JanSun1)=1,JanSun1+25,JanSun1+32)</f>
        <v>44588</v>
      </c>
      <c r="I27" s="19"/>
      <c r="J27" s="87">
        <f>IF(DAY(JanSun1)=1,JanSun1+26,JanSun1+33)</f>
        <v>44589</v>
      </c>
      <c r="K27" s="86"/>
      <c r="L27" s="87">
        <f>IF(DAY(JanSun1)=1,JanSun1+27,JanSun1+34)</f>
        <v>44590</v>
      </c>
      <c r="M27" s="86"/>
      <c r="N27" s="87">
        <f>IF(DAY(JanSun1)=1,JanSun1+28,JanSun1+35)</f>
        <v>44591</v>
      </c>
      <c r="O27" s="86"/>
    </row>
    <row r="28" spans="1:15" ht="55.5" customHeight="1" x14ac:dyDescent="0.2">
      <c r="A28" s="5"/>
      <c r="B28" s="147"/>
      <c r="C28" s="57"/>
      <c r="D28" s="57"/>
      <c r="E28" s="57"/>
      <c r="F28" s="57"/>
      <c r="G28" s="57"/>
      <c r="H28" s="25"/>
      <c r="I28" s="25"/>
      <c r="J28" s="57"/>
      <c r="K28" s="57"/>
      <c r="L28" s="94"/>
      <c r="M28" s="94"/>
      <c r="N28" s="94"/>
      <c r="O28" s="94"/>
    </row>
    <row r="29" spans="1:15" ht="8.25" customHeight="1" x14ac:dyDescent="0.2">
      <c r="A29" s="5"/>
      <c r="B29" s="151"/>
      <c r="C29" s="59"/>
      <c r="D29" s="59"/>
      <c r="E29" s="59"/>
      <c r="F29" s="59"/>
      <c r="G29" s="59"/>
      <c r="H29" s="23"/>
      <c r="I29" s="23"/>
      <c r="J29" s="59"/>
      <c r="K29" s="59"/>
      <c r="L29" s="85"/>
      <c r="M29" s="85"/>
      <c r="N29" s="85"/>
      <c r="O29" s="85"/>
    </row>
    <row r="30" spans="1:15" s="9" customFormat="1" ht="16.5" customHeight="1" x14ac:dyDescent="0.2">
      <c r="A30" s="8"/>
      <c r="B30" s="146">
        <f>IF(DAY(JanSun1)=1,JanSun1+29,JanSun1+36)</f>
        <v>44592</v>
      </c>
      <c r="C30" s="86"/>
      <c r="D30" s="87">
        <f>IF(DAY(JanSun1)=1,JanSun1+30,JanSun1+37)</f>
        <v>44593</v>
      </c>
      <c r="E30" s="86"/>
      <c r="F30" s="87">
        <f>IF(DAY(JanSun1)=1,JanSun1+31,JanSun1+38)</f>
        <v>44594</v>
      </c>
      <c r="G30" s="86"/>
      <c r="H30" s="18">
        <f>IF(DAY(JanSun1)=1,JanSun1+32,JanSun1+39)</f>
        <v>44595</v>
      </c>
      <c r="I30" s="19"/>
      <c r="J30" s="87">
        <f>IF(DAY(JanSun1)=1,JanSun1+33,JanSun1+40)</f>
        <v>44596</v>
      </c>
      <c r="K30" s="86"/>
      <c r="L30" s="87">
        <f>IF(DAY(JanSun1)=1,JanSun1+34,JanSun1+41)</f>
        <v>44597</v>
      </c>
      <c r="M30" s="86"/>
      <c r="N30" s="87">
        <f>IF(DAY(JanSun1)=1,JanSun1+35,JanSun1+42)</f>
        <v>44598</v>
      </c>
      <c r="O30" s="86"/>
    </row>
    <row r="31" spans="1:15" ht="55.5" customHeight="1" x14ac:dyDescent="0.2">
      <c r="A31" s="5"/>
      <c r="B31" s="152"/>
      <c r="C31" s="92"/>
      <c r="D31" s="92"/>
      <c r="E31" s="92"/>
      <c r="F31" s="93"/>
      <c r="G31" s="93"/>
      <c r="H31" s="33"/>
      <c r="I31" s="33"/>
      <c r="J31" s="93"/>
      <c r="K31" s="93"/>
      <c r="L31" s="91"/>
      <c r="M31" s="91"/>
      <c r="N31" s="91"/>
      <c r="O31" s="91"/>
    </row>
    <row r="32" spans="1:15" ht="7.5" customHeight="1" x14ac:dyDescent="0.2">
      <c r="B32" s="143"/>
      <c r="C32" s="11"/>
      <c r="D32" s="11"/>
      <c r="E32" s="11"/>
      <c r="F32" s="11"/>
      <c r="G32" s="11"/>
      <c r="H32" s="11"/>
      <c r="I32" s="11"/>
      <c r="J32" s="11"/>
      <c r="K32" s="11"/>
      <c r="L32" s="11"/>
      <c r="M32" s="11"/>
      <c r="N32" s="11"/>
      <c r="O32" s="11"/>
    </row>
    <row r="34" spans="1:22" ht="54" customHeight="1" x14ac:dyDescent="0.2">
      <c r="A34" s="139" t="str">
        <f>TEXT(DATE(CalendarYear,2,1),"[$-D07041E]mmmm")</f>
        <v>กุมภาพันธ์</v>
      </c>
      <c r="B34" s="139"/>
      <c r="C34" s="139"/>
      <c r="D34" s="139"/>
      <c r="E34" s="139"/>
      <c r="F34" s="139"/>
      <c r="G34" s="139"/>
      <c r="H34" s="1"/>
      <c r="I34" s="2"/>
      <c r="J34" s="2"/>
      <c r="L34" s="136">
        <f>CalendarYear+543</f>
        <v>2565</v>
      </c>
      <c r="M34" s="136"/>
      <c r="N34" s="136"/>
      <c r="O34" s="136"/>
      <c r="P34" s="136"/>
    </row>
    <row r="35" spans="1:22" ht="18.75" customHeight="1" x14ac:dyDescent="0.3">
      <c r="A35" s="4"/>
      <c r="B35" s="141"/>
      <c r="C35" s="2"/>
      <c r="D35" s="2"/>
      <c r="E35" s="2"/>
      <c r="F35" s="2"/>
      <c r="G35" s="2"/>
      <c r="H35" s="2"/>
      <c r="I35" s="2"/>
      <c r="J35" s="2"/>
      <c r="L35" s="100"/>
      <c r="M35" s="100"/>
      <c r="N35" s="100"/>
      <c r="O35" s="100"/>
    </row>
    <row r="36" spans="1:22" ht="18.75" customHeight="1" x14ac:dyDescent="0.3">
      <c r="A36" s="4"/>
      <c r="B36" s="141"/>
      <c r="C36" s="2"/>
      <c r="D36" s="2"/>
      <c r="E36" s="2"/>
      <c r="F36" s="2"/>
      <c r="G36" s="2"/>
      <c r="H36" s="2"/>
      <c r="I36" s="2"/>
      <c r="J36" s="2"/>
    </row>
    <row r="37" spans="1:22" ht="18.75" customHeight="1" x14ac:dyDescent="0.3">
      <c r="A37" s="4"/>
      <c r="B37" s="141"/>
      <c r="C37" s="2"/>
      <c r="D37" s="2"/>
      <c r="E37" s="2"/>
      <c r="F37" s="2"/>
      <c r="G37" s="2"/>
      <c r="H37" s="2"/>
      <c r="I37" s="2"/>
      <c r="J37" s="2"/>
    </row>
    <row r="38" spans="1:22" ht="18.75" customHeight="1" x14ac:dyDescent="0.3">
      <c r="A38" s="4"/>
      <c r="B38" s="141"/>
      <c r="C38" s="2"/>
      <c r="D38" s="2"/>
      <c r="E38" s="2"/>
      <c r="F38" s="2"/>
      <c r="G38" s="2"/>
      <c r="H38" s="2"/>
      <c r="I38" s="2"/>
      <c r="J38" s="2"/>
    </row>
    <row r="39" spans="1:22" ht="18.75" customHeight="1" x14ac:dyDescent="0.3">
      <c r="A39" s="4"/>
      <c r="B39" s="141"/>
      <c r="C39" s="2"/>
      <c r="D39" s="2"/>
      <c r="E39" s="2"/>
      <c r="F39" s="2"/>
      <c r="G39" s="2"/>
      <c r="H39" s="2"/>
      <c r="I39" s="2"/>
      <c r="J39" s="2"/>
    </row>
    <row r="40" spans="1:22" ht="18.75" customHeight="1" x14ac:dyDescent="0.3">
      <c r="A40" s="4"/>
      <c r="B40" s="141"/>
      <c r="C40" s="2"/>
      <c r="D40" s="2"/>
      <c r="E40" s="2"/>
      <c r="F40" s="2"/>
      <c r="G40" s="2"/>
      <c r="H40" s="2"/>
      <c r="I40" s="2"/>
      <c r="J40" s="2"/>
    </row>
    <row r="41" spans="1:22" ht="18.75" customHeight="1" x14ac:dyDescent="0.3">
      <c r="A41" s="4"/>
      <c r="B41" s="141"/>
      <c r="C41" s="2"/>
      <c r="D41" s="2"/>
      <c r="E41" s="2"/>
      <c r="F41" s="2"/>
      <c r="G41" s="2"/>
      <c r="H41" s="2"/>
      <c r="I41" s="2"/>
      <c r="J41" s="2"/>
    </row>
    <row r="42" spans="1:22" ht="18.75" customHeight="1" x14ac:dyDescent="0.3">
      <c r="A42" s="4"/>
      <c r="B42" s="141"/>
      <c r="C42" s="2"/>
      <c r="D42" s="2"/>
      <c r="E42" s="2"/>
      <c r="F42" s="2"/>
      <c r="G42" s="2"/>
      <c r="H42" s="2"/>
      <c r="I42" s="2"/>
      <c r="J42" s="2"/>
    </row>
    <row r="43" spans="1:22" ht="18.75" customHeight="1" x14ac:dyDescent="0.3">
      <c r="A43" s="4"/>
      <c r="B43" s="141"/>
      <c r="C43" s="2"/>
      <c r="D43" s="2"/>
      <c r="E43" s="2"/>
      <c r="F43" s="2"/>
      <c r="G43" s="2"/>
      <c r="H43" s="2"/>
      <c r="I43" s="2"/>
      <c r="J43" s="2"/>
    </row>
    <row r="44" spans="1:22" ht="18.75" customHeight="1" x14ac:dyDescent="0.2">
      <c r="A44" s="5"/>
      <c r="B44" s="142"/>
      <c r="C44" s="6"/>
      <c r="D44" s="6"/>
      <c r="E44" s="6"/>
      <c r="F44" s="6"/>
      <c r="G44" s="6"/>
      <c r="H44" s="6"/>
      <c r="I44" s="6"/>
      <c r="J44" s="6"/>
      <c r="K44" s="6"/>
      <c r="L44" s="6"/>
      <c r="M44" s="6"/>
      <c r="N44" s="6"/>
      <c r="O44" s="6"/>
    </row>
    <row r="45" spans="1:22" s="5" customFormat="1" ht="27" customHeight="1" x14ac:dyDescent="0.2">
      <c r="B45" s="140" t="s">
        <v>6</v>
      </c>
      <c r="C45" s="97"/>
      <c r="D45" s="97" t="s">
        <v>5</v>
      </c>
      <c r="E45" s="97"/>
      <c r="F45" s="97" t="s">
        <v>4</v>
      </c>
      <c r="G45" s="97"/>
      <c r="H45" s="26" t="s">
        <v>3</v>
      </c>
      <c r="I45" s="26"/>
      <c r="J45" s="97" t="s">
        <v>2</v>
      </c>
      <c r="K45" s="97"/>
      <c r="L45" s="97" t="s">
        <v>1</v>
      </c>
      <c r="M45" s="97"/>
      <c r="N45" s="97" t="s">
        <v>0</v>
      </c>
      <c r="O45" s="97"/>
      <c r="P45" s="3"/>
      <c r="Q45" s="7"/>
      <c r="U45" s="3"/>
      <c r="V45" s="3"/>
    </row>
    <row r="46" spans="1:22" s="8" customFormat="1" ht="16.5" customHeight="1" x14ac:dyDescent="0.2">
      <c r="B46" s="146">
        <f>IF(DAY(FebSun1)=1,FebSun1-6,FebSun1+1)</f>
        <v>44592</v>
      </c>
      <c r="C46" s="86"/>
      <c r="D46" s="87">
        <f>IF(DAY(FebSun1)=1,FebSun1-5,FebSun1+2)</f>
        <v>44593</v>
      </c>
      <c r="E46" s="86"/>
      <c r="F46" s="87">
        <f>IF(DAY(FebSun1)=1,FebSun1-4,FebSun1+3)</f>
        <v>44594</v>
      </c>
      <c r="G46" s="86"/>
      <c r="H46" s="18">
        <f>IF(DAY(FebSun1)=1,FebSun1-3,FebSun1+4)</f>
        <v>44595</v>
      </c>
      <c r="I46" s="19"/>
      <c r="J46" s="87">
        <f>IF(DAY(FebSun1)=1,FebSun1-2,FebSun1+5)</f>
        <v>44596</v>
      </c>
      <c r="K46" s="86"/>
      <c r="L46" s="87">
        <f>IF(DAY(FebSun1)=1,FebSun1-1,FebSun1+6)</f>
        <v>44597</v>
      </c>
      <c r="M46" s="86"/>
      <c r="N46" s="87">
        <f>IF(DAY(FebSun1)=1,FebSun1,FebSun1+7)</f>
        <v>44598</v>
      </c>
      <c r="O46" s="86"/>
      <c r="P46" s="9"/>
      <c r="Q46" s="9"/>
      <c r="U46" s="10"/>
      <c r="V46" s="9"/>
    </row>
    <row r="47" spans="1:22" s="11" customFormat="1" ht="55.5" customHeight="1" x14ac:dyDescent="0.2">
      <c r="A47" s="5"/>
      <c r="B47" s="147"/>
      <c r="C47" s="57"/>
      <c r="D47" s="57" t="s">
        <v>13</v>
      </c>
      <c r="E47" s="57"/>
      <c r="F47" s="57" t="s">
        <v>14</v>
      </c>
      <c r="G47" s="57"/>
      <c r="H47" s="25" t="s">
        <v>15</v>
      </c>
      <c r="I47" s="25"/>
      <c r="J47" s="57" t="s">
        <v>16</v>
      </c>
      <c r="K47" s="57"/>
      <c r="L47" s="94"/>
      <c r="M47" s="94"/>
      <c r="N47" s="94"/>
      <c r="O47" s="94"/>
    </row>
    <row r="48" spans="1:22" s="11" customFormat="1" ht="8.25" customHeight="1" x14ac:dyDescent="0.2">
      <c r="A48" s="5"/>
      <c r="B48" s="151"/>
      <c r="C48" s="59"/>
      <c r="D48" s="59"/>
      <c r="E48" s="59"/>
      <c r="F48" s="59"/>
      <c r="G48" s="59"/>
      <c r="H48" s="23"/>
      <c r="I48" s="23"/>
      <c r="J48" s="59"/>
      <c r="K48" s="59"/>
      <c r="L48" s="85"/>
      <c r="M48" s="85"/>
      <c r="N48" s="85"/>
      <c r="O48" s="85"/>
    </row>
    <row r="49" spans="1:15" s="9" customFormat="1" ht="16.5" customHeight="1" x14ac:dyDescent="0.2">
      <c r="A49" s="8"/>
      <c r="B49" s="146">
        <f>IF(DAY(FebSun1)=1,FebSun1+1,FebSun1+8)</f>
        <v>44599</v>
      </c>
      <c r="C49" s="86"/>
      <c r="D49" s="87">
        <f>IF(DAY(FebSun1)=1,FebSun1+2,FebSun1+9)</f>
        <v>44600</v>
      </c>
      <c r="E49" s="86"/>
      <c r="F49" s="87">
        <f>IF(DAY(FebSun1)=1,FebSun1+3,FebSun1+10)</f>
        <v>44601</v>
      </c>
      <c r="G49" s="86"/>
      <c r="H49" s="18">
        <f>IF(DAY(FebSun1)=1,FebSun1+4,FebSun1+11)</f>
        <v>44602</v>
      </c>
      <c r="I49" s="19"/>
      <c r="J49" s="87">
        <f>IF(DAY(FebSun1)=1,FebSun1+5,FebSun1+12)</f>
        <v>44603</v>
      </c>
      <c r="K49" s="86"/>
      <c r="L49" s="87">
        <f>IF(DAY(FebSun1)=1,FebSun1+6,FebSun1+13)</f>
        <v>44604</v>
      </c>
      <c r="M49" s="86"/>
      <c r="N49" s="88">
        <f>IF(DAY(FebSun1)=1,FebSun1+7,FebSun1+14)</f>
        <v>44605</v>
      </c>
      <c r="O49" s="89"/>
    </row>
    <row r="50" spans="1:15" ht="55.5" customHeight="1" x14ac:dyDescent="0.2">
      <c r="A50" s="5"/>
      <c r="B50" s="147"/>
      <c r="C50" s="57"/>
      <c r="D50" s="57"/>
      <c r="E50" s="57"/>
      <c r="F50" s="57"/>
      <c r="G50" s="57"/>
      <c r="H50" s="25" t="s">
        <v>17</v>
      </c>
      <c r="I50" s="25"/>
      <c r="J50" s="57"/>
      <c r="K50" s="57"/>
      <c r="L50" s="94"/>
      <c r="M50" s="94"/>
      <c r="N50" s="94" t="s">
        <v>18</v>
      </c>
      <c r="O50" s="94"/>
    </row>
    <row r="51" spans="1:15" ht="8.25" customHeight="1" x14ac:dyDescent="0.2">
      <c r="A51" s="5"/>
      <c r="B51" s="151"/>
      <c r="C51" s="59"/>
      <c r="D51" s="59"/>
      <c r="E51" s="59"/>
      <c r="F51" s="59"/>
      <c r="G51" s="59"/>
      <c r="H51" s="23"/>
      <c r="I51" s="23"/>
      <c r="J51" s="59"/>
      <c r="K51" s="59"/>
      <c r="L51" s="85"/>
      <c r="M51" s="85"/>
      <c r="N51" s="85"/>
      <c r="O51" s="85"/>
    </row>
    <row r="52" spans="1:15" s="9" customFormat="1" ht="16.5" customHeight="1" x14ac:dyDescent="0.2">
      <c r="A52" s="8"/>
      <c r="B52" s="146">
        <f>IF(DAY(FebSun1)=1,FebSun1+8,FebSun1+15)</f>
        <v>44606</v>
      </c>
      <c r="C52" s="86"/>
      <c r="D52" s="87">
        <f>IF(DAY(FebSun1)=1,FebSun1+9,FebSun1+16)</f>
        <v>44607</v>
      </c>
      <c r="E52" s="86"/>
      <c r="F52" s="87">
        <f>IF(DAY(FebSun1)=1,FebSun1+10,FebSun1+17)</f>
        <v>44608</v>
      </c>
      <c r="G52" s="86"/>
      <c r="H52" s="18">
        <f>IF(DAY(FebSun1)=1,FebSun1+11,FebSun1+18)</f>
        <v>44609</v>
      </c>
      <c r="I52" s="19"/>
      <c r="J52" s="87">
        <f>IF(DAY(FebSun1)=1,FebSun1+12,FebSun1+19)</f>
        <v>44610</v>
      </c>
      <c r="K52" s="86"/>
      <c r="L52" s="87">
        <f>IF(DAY(FebSun1)=1,FebSun1+13,FebSun1+20)</f>
        <v>44611</v>
      </c>
      <c r="M52" s="86"/>
      <c r="N52" s="87">
        <f>IF(DAY(FebSun1)=1,FebSun1+14,FebSun1+21)</f>
        <v>44612</v>
      </c>
      <c r="O52" s="86"/>
    </row>
    <row r="53" spans="1:15" ht="55.5" customHeight="1" x14ac:dyDescent="0.2">
      <c r="A53" s="5"/>
      <c r="B53" s="147" t="s">
        <v>19</v>
      </c>
      <c r="C53" s="57"/>
      <c r="D53" s="57"/>
      <c r="E53" s="57"/>
      <c r="F53" s="57"/>
      <c r="G53" s="57"/>
      <c r="H53" s="25"/>
      <c r="I53" s="25"/>
      <c r="J53" s="138" t="s">
        <v>20</v>
      </c>
      <c r="K53" s="138"/>
      <c r="L53" s="94"/>
      <c r="M53" s="94"/>
      <c r="N53" s="94"/>
      <c r="O53" s="94"/>
    </row>
    <row r="54" spans="1:15" ht="8.25" customHeight="1" x14ac:dyDescent="0.2">
      <c r="A54" s="5"/>
      <c r="B54" s="151"/>
      <c r="C54" s="59"/>
      <c r="D54" s="59"/>
      <c r="E54" s="59"/>
      <c r="F54" s="59"/>
      <c r="G54" s="59"/>
      <c r="H54" s="23"/>
      <c r="I54" s="23"/>
      <c r="J54" s="59"/>
      <c r="K54" s="59"/>
      <c r="L54" s="85"/>
      <c r="M54" s="85"/>
      <c r="N54" s="85"/>
      <c r="O54" s="85"/>
    </row>
    <row r="55" spans="1:15" s="9" customFormat="1" ht="16.5" customHeight="1" x14ac:dyDescent="0.2">
      <c r="A55" s="8"/>
      <c r="B55" s="146">
        <f>IF(DAY(FebSun1)=1,FebSun1+15,FebSun1+22)</f>
        <v>44613</v>
      </c>
      <c r="C55" s="86"/>
      <c r="D55" s="87">
        <f>IF(DAY(FebSun1)=1,FebSun1+16,FebSun1+23)</f>
        <v>44614</v>
      </c>
      <c r="E55" s="86"/>
      <c r="F55" s="87">
        <f>IF(DAY(FebSun1)=1,FebSun1+17,FebSun1+24)</f>
        <v>44615</v>
      </c>
      <c r="G55" s="86"/>
      <c r="H55" s="18">
        <f>IF(DAY(FebSun1)=1,FebSun1+18,FebSun1+25)</f>
        <v>44616</v>
      </c>
      <c r="I55" s="19"/>
      <c r="J55" s="87">
        <f>IF(DAY(FebSun1)=1,FebSun1+19,FebSun1+26)</f>
        <v>44617</v>
      </c>
      <c r="K55" s="86"/>
      <c r="L55" s="87">
        <f>IF(DAY(FebSun1)=1,FebSun1+20,FebSun1+27)</f>
        <v>44618</v>
      </c>
      <c r="M55" s="86"/>
      <c r="N55" s="87">
        <f>IF(DAY(FebSun1)=1,FebSun1+21,FebSun1+28)</f>
        <v>44619</v>
      </c>
      <c r="O55" s="86"/>
    </row>
    <row r="56" spans="1:15" ht="55.5" customHeight="1" x14ac:dyDescent="0.2">
      <c r="A56" s="5"/>
      <c r="B56" s="147"/>
      <c r="C56" s="57"/>
      <c r="D56" s="57"/>
      <c r="E56" s="57"/>
      <c r="F56" s="57"/>
      <c r="G56" s="57"/>
      <c r="H56" s="25" t="s">
        <v>21</v>
      </c>
      <c r="I56" s="25"/>
      <c r="J56" s="57" t="s">
        <v>22</v>
      </c>
      <c r="K56" s="137"/>
      <c r="L56" s="34" t="s">
        <v>23</v>
      </c>
      <c r="M56" s="35"/>
      <c r="N56" s="94"/>
      <c r="O56" s="94"/>
    </row>
    <row r="57" spans="1:15" ht="8.25" customHeight="1" x14ac:dyDescent="0.2">
      <c r="A57" s="5"/>
      <c r="B57" s="151"/>
      <c r="C57" s="59"/>
      <c r="D57" s="59"/>
      <c r="E57" s="59"/>
      <c r="F57" s="59"/>
      <c r="G57" s="59"/>
      <c r="H57" s="23"/>
      <c r="I57" s="23"/>
      <c r="J57" s="59"/>
      <c r="K57" s="59"/>
      <c r="L57" s="85"/>
      <c r="M57" s="85"/>
      <c r="N57" s="85"/>
      <c r="O57" s="85"/>
    </row>
    <row r="58" spans="1:15" s="9" customFormat="1" ht="16.5" customHeight="1" x14ac:dyDescent="0.2">
      <c r="A58" s="8"/>
      <c r="B58" s="146">
        <f>IF(DAY(FebSun1)=1,FebSun1+22,FebSun1+29)</f>
        <v>44620</v>
      </c>
      <c r="C58" s="86"/>
      <c r="D58" s="87">
        <f>IF(DAY(FebSun1)=1,FebSun1+23,FebSun1+30)</f>
        <v>44621</v>
      </c>
      <c r="E58" s="86"/>
      <c r="F58" s="87">
        <f>IF(DAY(FebSun1)=1,FebSun1+24,FebSun1+31)</f>
        <v>44622</v>
      </c>
      <c r="G58" s="86"/>
      <c r="H58" s="18">
        <f>IF(DAY(FebSun1)=1,FebSun1+25,FebSun1+32)</f>
        <v>44623</v>
      </c>
      <c r="I58" s="19"/>
      <c r="J58" s="87">
        <f>IF(DAY(FebSun1)=1,FebSun1+26,FebSun1+33)</f>
        <v>44624</v>
      </c>
      <c r="K58" s="86"/>
      <c r="L58" s="87">
        <f>IF(DAY(FebSun1)=1,FebSun1+27,FebSun1+34)</f>
        <v>44625</v>
      </c>
      <c r="M58" s="86"/>
      <c r="N58" s="87">
        <f>IF(DAY(FebSun1)=1,FebSun1+28,FebSun1+35)</f>
        <v>44626</v>
      </c>
      <c r="O58" s="86"/>
    </row>
    <row r="59" spans="1:15" ht="55.5" customHeight="1" x14ac:dyDescent="0.2">
      <c r="A59" s="5"/>
      <c r="B59" s="147"/>
      <c r="C59" s="57"/>
      <c r="D59" s="57"/>
      <c r="E59" s="57"/>
      <c r="F59" s="57"/>
      <c r="G59" s="57"/>
      <c r="H59" s="25"/>
      <c r="I59" s="25"/>
      <c r="J59" s="57"/>
      <c r="K59" s="57"/>
      <c r="L59" s="94"/>
      <c r="M59" s="94"/>
      <c r="N59" s="94"/>
      <c r="O59" s="94"/>
    </row>
    <row r="60" spans="1:15" ht="8.25" customHeight="1" x14ac:dyDescent="0.2">
      <c r="A60" s="5"/>
      <c r="B60" s="151"/>
      <c r="C60" s="59"/>
      <c r="D60" s="59"/>
      <c r="E60" s="59"/>
      <c r="F60" s="59"/>
      <c r="G60" s="59"/>
      <c r="H60" s="23"/>
      <c r="I60" s="23"/>
      <c r="J60" s="59"/>
      <c r="K60" s="59"/>
      <c r="L60" s="85"/>
      <c r="M60" s="85"/>
      <c r="N60" s="85"/>
      <c r="O60" s="85"/>
    </row>
    <row r="61" spans="1:15" s="9" customFormat="1" ht="16.5" customHeight="1" x14ac:dyDescent="0.2">
      <c r="A61" s="8"/>
      <c r="B61" s="146">
        <f>IF(DAY(FebSun1)=1,FebSun1+29,FebSun1+36)</f>
        <v>44627</v>
      </c>
      <c r="C61" s="86"/>
      <c r="D61" s="87">
        <f>IF(DAY(FebSun1)=1,FebSun1+30,FebSun1+37)</f>
        <v>44628</v>
      </c>
      <c r="E61" s="86"/>
      <c r="F61" s="87">
        <f>IF(DAY(FebSun1)=1,FebSun1+31,FebSun1+38)</f>
        <v>44629</v>
      </c>
      <c r="G61" s="86"/>
      <c r="H61" s="18">
        <f>IF(DAY(FebSun1)=1,FebSun1+32,FebSun1+39)</f>
        <v>44630</v>
      </c>
      <c r="I61" s="19"/>
      <c r="J61" s="87">
        <f>IF(DAY(FebSun1)=1,FebSun1+33,FebSun1+40)</f>
        <v>44631</v>
      </c>
      <c r="K61" s="86"/>
      <c r="L61" s="87">
        <f>IF(DAY(FebSun1)=1,FebSun1+34,FebSun1+41)</f>
        <v>44632</v>
      </c>
      <c r="M61" s="86"/>
      <c r="N61" s="87">
        <f>IF(DAY(FebSun1)=1,FebSun1+35,FebSun1+42)</f>
        <v>44633</v>
      </c>
      <c r="O61" s="86"/>
    </row>
    <row r="62" spans="1:15" ht="55.5" customHeight="1" x14ac:dyDescent="0.2">
      <c r="A62" s="5"/>
      <c r="B62" s="152"/>
      <c r="C62" s="92"/>
      <c r="D62" s="92"/>
      <c r="E62" s="92"/>
      <c r="F62" s="93"/>
      <c r="G62" s="93"/>
      <c r="H62" s="33"/>
      <c r="I62" s="33"/>
      <c r="J62" s="93"/>
      <c r="K62" s="93"/>
      <c r="L62" s="91"/>
      <c r="M62" s="91"/>
      <c r="N62" s="91"/>
      <c r="O62" s="91"/>
    </row>
    <row r="63" spans="1:15" ht="7.5" customHeight="1" x14ac:dyDescent="0.2">
      <c r="B63" s="143"/>
      <c r="C63" s="11"/>
      <c r="D63" s="11"/>
      <c r="E63" s="11"/>
      <c r="F63" s="11"/>
      <c r="G63" s="11"/>
      <c r="H63" s="11"/>
      <c r="I63" s="11"/>
      <c r="J63" s="11"/>
      <c r="K63" s="11"/>
      <c r="L63" s="11"/>
      <c r="M63" s="11"/>
      <c r="N63" s="11"/>
      <c r="O63" s="11"/>
    </row>
    <row r="65" spans="1:22" ht="54" customHeight="1" x14ac:dyDescent="0.2">
      <c r="A65" s="108" t="str">
        <f>TEXT(DATE(CalendarYear,3,1),"[$-D07041E]mmmm")</f>
        <v>มีนาคม</v>
      </c>
      <c r="B65" s="108"/>
      <c r="C65" s="108"/>
      <c r="D65" s="108"/>
      <c r="E65" s="108"/>
      <c r="F65" s="108"/>
      <c r="G65" s="108"/>
      <c r="H65" s="1"/>
      <c r="I65" s="2"/>
      <c r="J65" s="2"/>
      <c r="L65" s="107">
        <f>CalendarYear+543</f>
        <v>2565</v>
      </c>
      <c r="M65" s="107"/>
      <c r="N65" s="107"/>
      <c r="O65" s="107"/>
      <c r="P65" s="107"/>
    </row>
    <row r="66" spans="1:22" ht="19" customHeight="1" x14ac:dyDescent="0.3">
      <c r="A66" s="4"/>
      <c r="B66" s="141"/>
      <c r="C66" s="2"/>
      <c r="D66" s="2"/>
      <c r="E66" s="2"/>
      <c r="F66" s="2"/>
      <c r="G66" s="2"/>
      <c r="H66" s="2"/>
      <c r="I66" s="2"/>
      <c r="J66" s="2"/>
    </row>
    <row r="67" spans="1:22" ht="19" customHeight="1" x14ac:dyDescent="0.3">
      <c r="A67" s="4"/>
      <c r="B67" s="141"/>
      <c r="C67" s="2"/>
      <c r="D67" s="2"/>
      <c r="E67" s="2"/>
      <c r="F67" s="2"/>
      <c r="G67" s="2"/>
      <c r="H67" s="2"/>
      <c r="I67" s="2"/>
      <c r="J67" s="2"/>
    </row>
    <row r="68" spans="1:22" ht="19" customHeight="1" x14ac:dyDescent="0.3">
      <c r="A68" s="4"/>
      <c r="B68" s="141"/>
      <c r="C68" s="2"/>
      <c r="D68" s="2"/>
      <c r="E68" s="2"/>
      <c r="F68" s="2"/>
      <c r="G68" s="2"/>
      <c r="H68" s="2"/>
      <c r="I68" s="2"/>
      <c r="J68" s="2"/>
    </row>
    <row r="69" spans="1:22" ht="19" customHeight="1" x14ac:dyDescent="0.3">
      <c r="A69" s="4"/>
      <c r="B69" s="141"/>
      <c r="C69" s="2"/>
      <c r="D69" s="2"/>
      <c r="E69" s="2"/>
      <c r="F69" s="2"/>
      <c r="G69" s="2"/>
      <c r="H69" s="2"/>
      <c r="I69" s="2"/>
      <c r="J69" s="2"/>
    </row>
    <row r="70" spans="1:22" ht="19" customHeight="1" x14ac:dyDescent="0.3">
      <c r="A70" s="4"/>
      <c r="B70" s="141"/>
      <c r="C70" s="2"/>
      <c r="D70" s="2"/>
      <c r="E70" s="2"/>
      <c r="F70" s="2"/>
      <c r="G70" s="2"/>
      <c r="H70" s="2"/>
      <c r="I70" s="2"/>
      <c r="J70" s="2"/>
    </row>
    <row r="71" spans="1:22" ht="19" customHeight="1" x14ac:dyDescent="0.3">
      <c r="A71" s="4"/>
      <c r="B71" s="141"/>
      <c r="C71" s="2"/>
      <c r="D71" s="2"/>
      <c r="E71" s="2"/>
      <c r="F71" s="2"/>
      <c r="G71" s="2"/>
      <c r="H71" s="2"/>
      <c r="I71" s="2"/>
      <c r="J71" s="2"/>
    </row>
    <row r="72" spans="1:22" ht="19" customHeight="1" x14ac:dyDescent="0.3">
      <c r="A72" s="4"/>
      <c r="B72" s="141"/>
      <c r="C72" s="2"/>
      <c r="D72" s="2"/>
      <c r="E72" s="2"/>
      <c r="F72" s="2"/>
      <c r="G72" s="2"/>
      <c r="H72" s="2"/>
      <c r="I72" s="2"/>
      <c r="J72" s="2"/>
    </row>
    <row r="73" spans="1:22" ht="19" customHeight="1" x14ac:dyDescent="0.3">
      <c r="A73" s="4"/>
      <c r="B73" s="141"/>
      <c r="C73" s="2"/>
      <c r="D73" s="2"/>
      <c r="E73" s="2"/>
      <c r="F73" s="2"/>
      <c r="G73" s="2"/>
      <c r="H73" s="2"/>
      <c r="I73" s="2"/>
      <c r="J73" s="2"/>
    </row>
    <row r="74" spans="1:22" ht="19" customHeight="1" x14ac:dyDescent="0.3">
      <c r="A74" s="4"/>
      <c r="B74" s="141"/>
      <c r="C74" s="2"/>
      <c r="D74" s="2"/>
      <c r="E74" s="2"/>
      <c r="F74" s="2"/>
      <c r="G74" s="2"/>
      <c r="H74" s="2"/>
      <c r="I74" s="2"/>
      <c r="J74" s="2"/>
    </row>
    <row r="75" spans="1:22" ht="19" customHeight="1" x14ac:dyDescent="0.3">
      <c r="A75" s="4"/>
      <c r="B75" s="141"/>
      <c r="C75" s="2"/>
      <c r="D75" s="2"/>
      <c r="E75" s="2"/>
      <c r="F75" s="2"/>
      <c r="G75" s="2"/>
      <c r="H75" s="2"/>
      <c r="I75" s="2"/>
      <c r="J75" s="2"/>
    </row>
    <row r="76" spans="1:22" ht="19" customHeight="1" x14ac:dyDescent="0.3">
      <c r="A76" s="4"/>
      <c r="B76" s="141"/>
      <c r="C76" s="2"/>
      <c r="D76" s="2"/>
      <c r="E76" s="2"/>
      <c r="F76" s="2"/>
      <c r="G76" s="2"/>
      <c r="H76" s="2"/>
      <c r="I76" s="2"/>
      <c r="J76" s="2"/>
    </row>
    <row r="77" spans="1:22" ht="19" customHeight="1" x14ac:dyDescent="0.2">
      <c r="A77" s="5"/>
      <c r="B77" s="142"/>
      <c r="C77" s="6"/>
      <c r="D77" s="6"/>
      <c r="E77" s="6"/>
      <c r="F77" s="6"/>
      <c r="G77" s="6"/>
      <c r="H77" s="6"/>
      <c r="I77" s="6"/>
      <c r="J77" s="6"/>
      <c r="K77" s="6"/>
      <c r="L77" s="6"/>
      <c r="M77" s="6"/>
      <c r="N77" s="6"/>
      <c r="O77" s="6"/>
    </row>
    <row r="78" spans="1:22" s="5" customFormat="1" ht="27" customHeight="1" x14ac:dyDescent="0.2">
      <c r="B78" s="127" t="s">
        <v>6</v>
      </c>
      <c r="C78" s="127"/>
      <c r="D78" s="127" t="s">
        <v>5</v>
      </c>
      <c r="E78" s="127"/>
      <c r="F78" s="127" t="s">
        <v>4</v>
      </c>
      <c r="G78" s="127"/>
      <c r="H78" s="24" t="s">
        <v>3</v>
      </c>
      <c r="I78" s="24"/>
      <c r="J78" s="127" t="s">
        <v>2</v>
      </c>
      <c r="K78" s="127"/>
      <c r="L78" s="127" t="s">
        <v>1</v>
      </c>
      <c r="M78" s="127"/>
      <c r="N78" s="127" t="s">
        <v>0</v>
      </c>
      <c r="O78" s="127"/>
      <c r="P78" s="3"/>
      <c r="Q78" s="7"/>
      <c r="U78" s="3"/>
      <c r="V78" s="3"/>
    </row>
    <row r="79" spans="1:22" s="8" customFormat="1" ht="16.5" customHeight="1" x14ac:dyDescent="0.2">
      <c r="B79" s="78">
        <f>IF(DAY(MarSun1)=1,MarSun1-6,MarSun1+1)</f>
        <v>44620</v>
      </c>
      <c r="C79" s="77"/>
      <c r="D79" s="76">
        <f>IF(DAY(MarSun1)=1,MarSun1-5,MarSun1+2)</f>
        <v>44621</v>
      </c>
      <c r="E79" s="77"/>
      <c r="F79" s="76">
        <f>IF(DAY(MarSun1)=1,MarSun1-4,MarSun1+3)</f>
        <v>44622</v>
      </c>
      <c r="G79" s="77"/>
      <c r="H79" s="30">
        <f>IF(DAY(MarSun1)=1,MarSun1-3,MarSun1+4)</f>
        <v>44623</v>
      </c>
      <c r="I79" s="29"/>
      <c r="J79" s="76">
        <f>IF(DAY(MarSun1)=1,MarSun1-2,MarSun1+5)</f>
        <v>44624</v>
      </c>
      <c r="K79" s="77"/>
      <c r="L79" s="76">
        <f>IF(DAY(MarSun1)=1,MarSun1-1,MarSun1+6)</f>
        <v>44625</v>
      </c>
      <c r="M79" s="77"/>
      <c r="N79" s="76">
        <f>IF(DAY(MarSun1)=1,MarSun1,MarSun1+7)</f>
        <v>44626</v>
      </c>
      <c r="O79" s="77"/>
      <c r="P79" s="9"/>
      <c r="Q79" s="9"/>
      <c r="U79" s="10"/>
      <c r="V79" s="9"/>
    </row>
    <row r="80" spans="1:22" s="11" customFormat="1" ht="55.5" customHeight="1" x14ac:dyDescent="0.2">
      <c r="A80" s="5"/>
      <c r="B80" s="83"/>
      <c r="C80" s="84"/>
      <c r="D80" s="84"/>
      <c r="E80" s="84"/>
      <c r="F80" s="84"/>
      <c r="G80" s="84"/>
      <c r="H80" s="22" t="s">
        <v>24</v>
      </c>
      <c r="I80" s="22"/>
      <c r="J80" s="84"/>
      <c r="K80" s="84"/>
      <c r="L80" s="82" t="s">
        <v>25</v>
      </c>
      <c r="M80" s="82"/>
      <c r="N80" s="82"/>
      <c r="O80" s="82"/>
    </row>
    <row r="81" spans="1:15" s="11" customFormat="1" ht="8.25" customHeight="1" x14ac:dyDescent="0.2">
      <c r="A81" s="5"/>
      <c r="B81" s="59"/>
      <c r="C81" s="59"/>
      <c r="D81" s="59"/>
      <c r="E81" s="59"/>
      <c r="F81" s="59"/>
      <c r="G81" s="59"/>
      <c r="H81" s="23"/>
      <c r="I81" s="23"/>
      <c r="J81" s="59"/>
      <c r="K81" s="59"/>
      <c r="L81" s="85"/>
      <c r="M81" s="85"/>
      <c r="N81" s="85"/>
      <c r="O81" s="85"/>
    </row>
    <row r="82" spans="1:15" s="13" customFormat="1" ht="16.5" customHeight="1" x14ac:dyDescent="0.2">
      <c r="A82" s="12"/>
      <c r="B82" s="79">
        <f>IF(DAY(MarSun1)=1,MarSun1+1,MarSun1+8)</f>
        <v>44627</v>
      </c>
      <c r="C82" s="80"/>
      <c r="D82" s="81">
        <f>IF(DAY(MarSun1)=1,MarSun1+2,MarSun1+9)</f>
        <v>44628</v>
      </c>
      <c r="E82" s="80"/>
      <c r="F82" s="81">
        <f>IF(DAY(MarSun1)=1,MarSun1+3,MarSun1+10)</f>
        <v>44629</v>
      </c>
      <c r="G82" s="80"/>
      <c r="H82" s="20">
        <f>IF(DAY(MarSun1)=1,MarSun1+4,MarSun1+11)</f>
        <v>44630</v>
      </c>
      <c r="I82" s="21"/>
      <c r="J82" s="81">
        <f>IF(DAY(MarSun1)=1,MarSun1+5,MarSun1+12)</f>
        <v>44631</v>
      </c>
      <c r="K82" s="80"/>
      <c r="L82" s="81">
        <f>IF(DAY(MarSun1)=1,MarSun1+6,MarSun1+13)</f>
        <v>44632</v>
      </c>
      <c r="M82" s="80"/>
      <c r="N82" s="81">
        <f>IF(DAY(MarSun1)=1,MarSun1+7,MarSun1+14)</f>
        <v>44633</v>
      </c>
      <c r="O82" s="80"/>
    </row>
    <row r="83" spans="1:15" ht="55.5" customHeight="1" x14ac:dyDescent="0.2">
      <c r="A83" s="5"/>
      <c r="B83" s="83"/>
      <c r="C83" s="84"/>
      <c r="D83" s="84" t="s">
        <v>26</v>
      </c>
      <c r="E83" s="84"/>
      <c r="F83" s="84"/>
      <c r="G83" s="84"/>
      <c r="H83" s="22"/>
      <c r="I83" s="22"/>
      <c r="J83" s="84"/>
      <c r="K83" s="84"/>
      <c r="L83" s="82"/>
      <c r="M83" s="82"/>
      <c r="N83" s="82" t="s">
        <v>27</v>
      </c>
      <c r="O83" s="82"/>
    </row>
    <row r="84" spans="1:15" ht="8.25" customHeight="1" x14ac:dyDescent="0.2">
      <c r="A84" s="5"/>
      <c r="B84" s="59"/>
      <c r="C84" s="59"/>
      <c r="D84" s="59"/>
      <c r="E84" s="59"/>
      <c r="F84" s="59"/>
      <c r="G84" s="59"/>
      <c r="H84" s="59"/>
      <c r="I84" s="59"/>
      <c r="J84" s="59"/>
      <c r="K84" s="59"/>
      <c r="L84" s="85"/>
      <c r="M84" s="85"/>
      <c r="N84" s="85"/>
      <c r="O84" s="85"/>
    </row>
    <row r="85" spans="1:15" s="9" customFormat="1" ht="16.5" customHeight="1" x14ac:dyDescent="0.2">
      <c r="A85" s="8"/>
      <c r="B85" s="78">
        <f>IF(DAY(MarSun1)=1,MarSun1+8,MarSun1+15)</f>
        <v>44634</v>
      </c>
      <c r="C85" s="77"/>
      <c r="D85" s="76">
        <f>IF(DAY(MarSun1)=1,MarSun1+9,MarSun1+16)</f>
        <v>44635</v>
      </c>
      <c r="E85" s="77"/>
      <c r="F85" s="76">
        <f>IF(DAY(MarSun1)=1,MarSun1+10,MarSun1+17)</f>
        <v>44636</v>
      </c>
      <c r="G85" s="77"/>
      <c r="H85" s="76">
        <f>IF(DAY(MarSun1)=1,MarSun1+11,MarSun1+18)</f>
        <v>44637</v>
      </c>
      <c r="I85" s="77"/>
      <c r="J85" s="76">
        <f>IF(DAY(MarSun1)=1,MarSun1+12,MarSun1+19)</f>
        <v>44638</v>
      </c>
      <c r="K85" s="77"/>
      <c r="L85" s="76">
        <f>IF(DAY(MarSun1)=1,MarSun1+13,MarSun1+20)</f>
        <v>44639</v>
      </c>
      <c r="M85" s="77"/>
      <c r="N85" s="76">
        <f>IF(DAY(MarSun1)=1,MarSun1+14,MarSun1+21)</f>
        <v>44640</v>
      </c>
      <c r="O85" s="77"/>
    </row>
    <row r="86" spans="1:15" ht="56" customHeight="1" x14ac:dyDescent="0.2">
      <c r="A86" s="5"/>
      <c r="B86" s="134" t="s">
        <v>28</v>
      </c>
      <c r="C86" s="83"/>
      <c r="D86" s="135" t="s">
        <v>29</v>
      </c>
      <c r="E86" s="83"/>
      <c r="F86" s="135"/>
      <c r="G86" s="83"/>
      <c r="H86" s="135"/>
      <c r="I86" s="83"/>
      <c r="J86" s="135"/>
      <c r="K86" s="83"/>
      <c r="L86" s="131"/>
      <c r="M86" s="133"/>
      <c r="N86" s="131" t="s">
        <v>30</v>
      </c>
      <c r="O86" s="133"/>
    </row>
    <row r="87" spans="1:15" ht="8.25" customHeight="1" x14ac:dyDescent="0.2">
      <c r="A87" s="5"/>
      <c r="B87" s="59"/>
      <c r="C87" s="59"/>
      <c r="D87" s="59"/>
      <c r="E87" s="59"/>
      <c r="F87" s="59"/>
      <c r="G87" s="59"/>
      <c r="H87" s="59"/>
      <c r="I87" s="59"/>
      <c r="J87" s="59"/>
      <c r="K87" s="59"/>
      <c r="L87" s="85"/>
      <c r="M87" s="85"/>
      <c r="N87" s="85"/>
      <c r="O87" s="85"/>
    </row>
    <row r="88" spans="1:15" s="9" customFormat="1" ht="16.5" customHeight="1" x14ac:dyDescent="0.2">
      <c r="A88" s="8"/>
      <c r="B88" s="78">
        <f>IF(DAY(MarSun1)=1,MarSun1+15,MarSun1+22)</f>
        <v>44641</v>
      </c>
      <c r="C88" s="77"/>
      <c r="D88" s="76">
        <f>IF(DAY(MarSun1)=1,MarSun1+16,MarSun1+23)</f>
        <v>44642</v>
      </c>
      <c r="E88" s="77"/>
      <c r="F88" s="76">
        <f>IF(DAY(MarSun1)=1,MarSun1+17,MarSun1+24)</f>
        <v>44643</v>
      </c>
      <c r="G88" s="77"/>
      <c r="H88" s="76">
        <f>IF(DAY(MarSun1)=1,MarSun1+18,MarSun1+25)</f>
        <v>44644</v>
      </c>
      <c r="I88" s="77"/>
      <c r="J88" s="76">
        <f>IF(DAY(MarSun1)=1,MarSun1+19,MarSun1+26)</f>
        <v>44645</v>
      </c>
      <c r="K88" s="77"/>
      <c r="L88" s="76">
        <f>IF(DAY(MarSun1)=1,MarSun1+20,MarSun1+27)</f>
        <v>44646</v>
      </c>
      <c r="M88" s="77"/>
      <c r="N88" s="76">
        <f>IF(DAY(MarSun1)=1,MarSun1+21,MarSun1+28)</f>
        <v>44647</v>
      </c>
      <c r="O88" s="77"/>
    </row>
    <row r="89" spans="1:15" ht="55.5" customHeight="1" x14ac:dyDescent="0.2">
      <c r="A89" s="5"/>
      <c r="B89" s="83" t="s">
        <v>31</v>
      </c>
      <c r="C89" s="84"/>
      <c r="D89" s="84" t="s">
        <v>31</v>
      </c>
      <c r="E89" s="84"/>
      <c r="F89" s="84" t="s">
        <v>32</v>
      </c>
      <c r="G89" s="84"/>
      <c r="H89" s="84" t="s">
        <v>33</v>
      </c>
      <c r="I89" s="84"/>
      <c r="J89" s="84"/>
      <c r="K89" s="84"/>
      <c r="L89" s="82"/>
      <c r="M89" s="82"/>
      <c r="N89" s="82" t="s">
        <v>34</v>
      </c>
      <c r="O89" s="82"/>
    </row>
    <row r="90" spans="1:15" ht="8.25" customHeight="1" x14ac:dyDescent="0.2">
      <c r="A90" s="5"/>
      <c r="B90" s="59"/>
      <c r="C90" s="59"/>
      <c r="D90" s="59"/>
      <c r="E90" s="59"/>
      <c r="F90" s="59"/>
      <c r="G90" s="59"/>
      <c r="H90" s="59"/>
      <c r="I90" s="59"/>
      <c r="J90" s="59"/>
      <c r="K90" s="59"/>
      <c r="L90" s="85"/>
      <c r="M90" s="85"/>
      <c r="N90" s="85"/>
      <c r="O90" s="85"/>
    </row>
    <row r="91" spans="1:15" s="9" customFormat="1" ht="16.5" customHeight="1" x14ac:dyDescent="0.2">
      <c r="A91" s="8"/>
      <c r="B91" s="78">
        <f>IF(DAY(MarSun1)=1,MarSun1+22,MarSun1+29)</f>
        <v>44648</v>
      </c>
      <c r="C91" s="77"/>
      <c r="D91" s="76">
        <f>IF(DAY(MarSun1)=1,MarSun1+23,MarSun1+30)</f>
        <v>44649</v>
      </c>
      <c r="E91" s="77"/>
      <c r="F91" s="76">
        <f>IF(DAY(MarSun1)=1,MarSun1+24,MarSun1+31)</f>
        <v>44650</v>
      </c>
      <c r="G91" s="77"/>
      <c r="H91" s="27">
        <f>IF(DAY(MarSun1)=1,MarSun1+25,MarSun1+32)</f>
        <v>44651</v>
      </c>
      <c r="I91" s="28"/>
      <c r="J91" s="76">
        <f>IF(DAY(MarSun1)=1,MarSun1+26,MarSun1+33)</f>
        <v>44652</v>
      </c>
      <c r="K91" s="77"/>
      <c r="L91" s="76">
        <f>IF(DAY(MarSun1)=1,MarSun1+27,MarSun1+34)</f>
        <v>44653</v>
      </c>
      <c r="M91" s="77"/>
      <c r="N91" s="76">
        <f>IF(DAY(MarSun1)=1,MarSun1+28,MarSun1+35)</f>
        <v>44654</v>
      </c>
      <c r="O91" s="77"/>
    </row>
    <row r="92" spans="1:15" ht="55.5" customHeight="1" x14ac:dyDescent="0.2">
      <c r="A92" s="5"/>
      <c r="B92" s="83"/>
      <c r="C92" s="84"/>
      <c r="D92" s="84"/>
      <c r="E92" s="84"/>
      <c r="F92" s="84" t="s">
        <v>35</v>
      </c>
      <c r="G92" s="84"/>
      <c r="H92" s="84" t="s">
        <v>36</v>
      </c>
      <c r="I92" s="84"/>
      <c r="J92" s="84"/>
      <c r="K92" s="84"/>
      <c r="L92" s="82"/>
      <c r="M92" s="82"/>
      <c r="N92" s="82"/>
      <c r="O92" s="82"/>
    </row>
    <row r="93" spans="1:15" ht="8.25" customHeight="1" x14ac:dyDescent="0.2">
      <c r="A93" s="5"/>
      <c r="B93" s="59"/>
      <c r="C93" s="59"/>
      <c r="D93" s="59"/>
      <c r="E93" s="59"/>
      <c r="F93" s="59"/>
      <c r="G93" s="59"/>
      <c r="H93" s="59"/>
      <c r="I93" s="59"/>
      <c r="J93" s="59"/>
      <c r="K93" s="59"/>
      <c r="L93" s="85"/>
      <c r="M93" s="85"/>
      <c r="N93" s="85"/>
      <c r="O93" s="85"/>
    </row>
    <row r="94" spans="1:15" s="9" customFormat="1" ht="16.5" customHeight="1" x14ac:dyDescent="0.2">
      <c r="A94" s="8"/>
      <c r="B94" s="78">
        <f>IF(DAY(MarSun1)=1,MarSun1+29,MarSun1+36)</f>
        <v>44655</v>
      </c>
      <c r="C94" s="77"/>
      <c r="D94" s="76">
        <f>IF(DAY(MarSun1)=1,MarSun1+30,MarSun1+37)</f>
        <v>44656</v>
      </c>
      <c r="E94" s="77"/>
      <c r="F94" s="76">
        <f>IF(DAY(MarSun1)=1,MarSun1+31,MarSun1+38)</f>
        <v>44657</v>
      </c>
      <c r="G94" s="77"/>
      <c r="H94" s="76">
        <f>IF(DAY(MarSun1)=1,MarSun1+32,MarSun1+39)</f>
        <v>44658</v>
      </c>
      <c r="I94" s="77"/>
      <c r="J94" s="76">
        <f>IF(DAY(MarSun1)=1,MarSun1+33,MarSun1+40)</f>
        <v>44659</v>
      </c>
      <c r="K94" s="77"/>
      <c r="L94" s="76">
        <f>IF(DAY(MarSun1)=1,MarSun1+34,MarSun1+41)</f>
        <v>44660</v>
      </c>
      <c r="M94" s="77"/>
      <c r="N94" s="76">
        <f>IF(DAY(MarSun1)=1,MarSun1+35,MarSun1+42)</f>
        <v>44661</v>
      </c>
      <c r="O94" s="77"/>
    </row>
    <row r="95" spans="1:15" ht="55.5" customHeight="1" x14ac:dyDescent="0.2">
      <c r="A95" s="5"/>
      <c r="B95" s="129"/>
      <c r="C95" s="123"/>
      <c r="D95" s="123"/>
      <c r="E95" s="123"/>
      <c r="F95" s="124"/>
      <c r="G95" s="124"/>
      <c r="H95" s="124"/>
      <c r="I95" s="124"/>
      <c r="J95" s="124"/>
      <c r="K95" s="124"/>
      <c r="L95" s="122"/>
      <c r="M95" s="122"/>
      <c r="N95" s="122"/>
      <c r="O95" s="122"/>
    </row>
    <row r="96" spans="1:15" ht="7.5" customHeight="1" x14ac:dyDescent="0.2">
      <c r="B96" s="143"/>
      <c r="C96" s="11"/>
      <c r="D96" s="11"/>
      <c r="E96" s="11"/>
      <c r="F96" s="11"/>
      <c r="G96" s="11"/>
      <c r="H96" s="11"/>
      <c r="I96" s="11"/>
      <c r="J96" s="11"/>
      <c r="K96" s="11"/>
      <c r="L96" s="11"/>
      <c r="M96" s="11"/>
      <c r="N96" s="11"/>
      <c r="O96" s="11"/>
    </row>
    <row r="98" spans="1:22" ht="54" customHeight="1" x14ac:dyDescent="0.2">
      <c r="A98" s="128" t="str">
        <f>TEXT(DATE(CalendarYear,4,1),"[$-D07041E]mmmm")</f>
        <v>เมษายน</v>
      </c>
      <c r="B98" s="128"/>
      <c r="C98" s="128"/>
      <c r="D98" s="128"/>
      <c r="E98" s="128"/>
      <c r="F98" s="128"/>
      <c r="G98" s="128"/>
      <c r="H98" s="1"/>
      <c r="I98" s="2"/>
      <c r="J98" s="2"/>
      <c r="L98" s="126">
        <f>CalendarYear+543</f>
        <v>2565</v>
      </c>
      <c r="M98" s="126"/>
      <c r="N98" s="126"/>
      <c r="O98" s="126"/>
      <c r="P98" s="126"/>
    </row>
    <row r="99" spans="1:22" ht="19" customHeight="1" x14ac:dyDescent="0.3">
      <c r="A99" s="4"/>
      <c r="B99" s="141"/>
      <c r="C99" s="2"/>
      <c r="D99" s="2"/>
      <c r="E99" s="2"/>
      <c r="F99" s="2"/>
      <c r="G99" s="2"/>
      <c r="H99" s="2"/>
      <c r="I99" s="2"/>
      <c r="J99" s="2"/>
    </row>
    <row r="100" spans="1:22" ht="19" customHeight="1" x14ac:dyDescent="0.3">
      <c r="A100" s="4"/>
      <c r="B100" s="141"/>
      <c r="C100" s="2"/>
      <c r="D100" s="2"/>
      <c r="E100" s="2"/>
      <c r="F100" s="2"/>
      <c r="G100" s="2"/>
      <c r="H100" s="2"/>
      <c r="I100" s="2"/>
      <c r="J100" s="2"/>
    </row>
    <row r="101" spans="1:22" ht="19" customHeight="1" x14ac:dyDescent="0.3">
      <c r="A101" s="4"/>
      <c r="B101" s="141"/>
      <c r="C101" s="2"/>
      <c r="D101" s="2"/>
      <c r="E101" s="2"/>
      <c r="F101" s="2"/>
      <c r="G101" s="2"/>
      <c r="H101" s="2"/>
      <c r="I101" s="2"/>
      <c r="J101" s="2"/>
    </row>
    <row r="102" spans="1:22" ht="19" customHeight="1" x14ac:dyDescent="0.3">
      <c r="A102" s="4"/>
      <c r="B102" s="141"/>
      <c r="C102" s="2"/>
      <c r="D102" s="2"/>
      <c r="E102" s="2"/>
      <c r="F102" s="2"/>
      <c r="G102" s="2"/>
      <c r="H102" s="2"/>
      <c r="I102" s="2"/>
      <c r="J102" s="2"/>
    </row>
    <row r="103" spans="1:22" ht="19" customHeight="1" x14ac:dyDescent="0.3">
      <c r="A103" s="4"/>
      <c r="B103" s="141"/>
      <c r="C103" s="2"/>
      <c r="D103" s="2"/>
      <c r="E103" s="2"/>
      <c r="F103" s="2"/>
      <c r="G103" s="2"/>
      <c r="H103" s="2"/>
      <c r="I103" s="2"/>
      <c r="J103" s="2"/>
    </row>
    <row r="104" spans="1:22" ht="19" customHeight="1" x14ac:dyDescent="0.3">
      <c r="A104" s="4"/>
      <c r="B104" s="141"/>
      <c r="C104" s="2"/>
      <c r="D104" s="2"/>
      <c r="E104" s="2"/>
      <c r="F104" s="2"/>
      <c r="G104" s="2"/>
      <c r="H104" s="2"/>
      <c r="I104" s="2"/>
      <c r="J104" s="2"/>
    </row>
    <row r="105" spans="1:22" ht="19" customHeight="1" x14ac:dyDescent="0.3">
      <c r="A105" s="4"/>
      <c r="B105" s="141"/>
      <c r="C105" s="2"/>
      <c r="D105" s="2"/>
      <c r="E105" s="2"/>
      <c r="F105" s="2"/>
      <c r="G105" s="2"/>
      <c r="H105" s="2"/>
      <c r="I105" s="2"/>
      <c r="J105" s="2"/>
    </row>
    <row r="106" spans="1:22" ht="19" customHeight="1" x14ac:dyDescent="0.3">
      <c r="A106" s="4"/>
      <c r="B106" s="141"/>
      <c r="C106" s="2"/>
      <c r="D106" s="2"/>
      <c r="E106" s="2"/>
      <c r="F106" s="2"/>
      <c r="G106" s="2"/>
      <c r="H106" s="2"/>
      <c r="I106" s="2"/>
      <c r="J106" s="2"/>
    </row>
    <row r="107" spans="1:22" ht="19" customHeight="1" x14ac:dyDescent="0.3">
      <c r="A107" s="4"/>
      <c r="B107" s="141"/>
      <c r="C107" s="2"/>
      <c r="D107" s="2"/>
      <c r="E107" s="2"/>
      <c r="F107" s="2"/>
      <c r="G107" s="2"/>
      <c r="H107" s="2"/>
      <c r="I107" s="2"/>
      <c r="J107" s="2"/>
    </row>
    <row r="108" spans="1:22" ht="19" customHeight="1" x14ac:dyDescent="0.3">
      <c r="A108" s="4"/>
      <c r="B108" s="141"/>
      <c r="C108" s="2"/>
      <c r="D108" s="2"/>
      <c r="E108" s="2"/>
      <c r="F108" s="2"/>
      <c r="G108" s="2"/>
      <c r="H108" s="2"/>
      <c r="I108" s="2"/>
      <c r="J108" s="2"/>
    </row>
    <row r="109" spans="1:22" ht="19" customHeight="1" x14ac:dyDescent="0.2">
      <c r="A109" s="5"/>
      <c r="B109" s="142"/>
      <c r="C109" s="6"/>
      <c r="D109" s="6"/>
      <c r="E109" s="6"/>
      <c r="F109" s="6"/>
      <c r="G109" s="6"/>
      <c r="H109" s="6"/>
      <c r="I109" s="6"/>
      <c r="J109" s="6"/>
      <c r="K109" s="6"/>
      <c r="L109" s="6"/>
      <c r="M109" s="6"/>
      <c r="N109" s="6"/>
      <c r="O109" s="6"/>
    </row>
    <row r="110" spans="1:22" s="5" customFormat="1" ht="27" customHeight="1" x14ac:dyDescent="0.2">
      <c r="B110" s="153" t="s">
        <v>6</v>
      </c>
      <c r="C110" s="127"/>
      <c r="D110" s="127" t="s">
        <v>5</v>
      </c>
      <c r="E110" s="127"/>
      <c r="F110" s="127" t="s">
        <v>4</v>
      </c>
      <c r="G110" s="127"/>
      <c r="H110" s="127" t="s">
        <v>3</v>
      </c>
      <c r="I110" s="127"/>
      <c r="J110" s="127" t="s">
        <v>2</v>
      </c>
      <c r="K110" s="127"/>
      <c r="L110" s="127" t="s">
        <v>1</v>
      </c>
      <c r="M110" s="127"/>
      <c r="N110" s="127" t="s">
        <v>0</v>
      </c>
      <c r="O110" s="127"/>
      <c r="P110" s="3"/>
      <c r="Q110" s="7"/>
      <c r="U110" s="3"/>
      <c r="V110" s="3"/>
    </row>
    <row r="111" spans="1:22" s="8" customFormat="1" ht="16.5" customHeight="1" x14ac:dyDescent="0.2">
      <c r="B111" s="154">
        <f>IF(DAY(AprSun1)=1,AprSun1-6,AprSun1+1)</f>
        <v>44648</v>
      </c>
      <c r="C111" s="77"/>
      <c r="D111" s="76">
        <f>IF(DAY(AprSun1)=1,AprSun1-5,AprSun1+2)</f>
        <v>44649</v>
      </c>
      <c r="E111" s="77"/>
      <c r="F111" s="76">
        <f>IF(DAY(AprSun1)=1,AprSun1-4,AprSun1+3)</f>
        <v>44650</v>
      </c>
      <c r="G111" s="77"/>
      <c r="H111" s="76">
        <f>IF(DAY(AprSun1)=1,AprSun1-3,AprSun1+4)</f>
        <v>44651</v>
      </c>
      <c r="I111" s="77"/>
      <c r="J111" s="76">
        <f>IF(DAY(AprSun1)=1,AprSun1-2,AprSun1+5)</f>
        <v>44652</v>
      </c>
      <c r="K111" s="77"/>
      <c r="L111" s="76">
        <f>IF(DAY(AprSun1)=1,AprSun1-1,AprSun1+6)</f>
        <v>44653</v>
      </c>
      <c r="M111" s="77"/>
      <c r="N111" s="76">
        <f>IF(DAY(AprSun1)=1,AprSun1,AprSun1+7)</f>
        <v>44654</v>
      </c>
      <c r="O111" s="77"/>
      <c r="P111" s="9"/>
      <c r="Q111" s="9"/>
      <c r="U111" s="10"/>
      <c r="V111" s="9"/>
    </row>
    <row r="112" spans="1:22" s="11" customFormat="1" ht="55.5" customHeight="1" x14ac:dyDescent="0.2">
      <c r="A112" s="5"/>
      <c r="B112" s="155"/>
      <c r="C112" s="84"/>
      <c r="D112" s="84"/>
      <c r="E112" s="84"/>
      <c r="F112" s="84"/>
      <c r="G112" s="84"/>
      <c r="H112" s="84"/>
      <c r="I112" s="84"/>
      <c r="J112" s="84" t="s">
        <v>37</v>
      </c>
      <c r="K112" s="84"/>
      <c r="L112" s="132" t="s">
        <v>38</v>
      </c>
      <c r="M112" s="82"/>
      <c r="N112" s="82"/>
      <c r="O112" s="82"/>
    </row>
    <row r="113" spans="1:15" s="11" customFormat="1" ht="8.25" customHeight="1" x14ac:dyDescent="0.2">
      <c r="A113" s="5"/>
      <c r="B113" s="151"/>
      <c r="C113" s="59"/>
      <c r="D113" s="59"/>
      <c r="E113" s="59"/>
      <c r="F113" s="59"/>
      <c r="G113" s="59"/>
      <c r="H113" s="59"/>
      <c r="I113" s="59"/>
      <c r="J113" s="59"/>
      <c r="K113" s="59"/>
      <c r="L113" s="85"/>
      <c r="M113" s="85"/>
      <c r="N113" s="85"/>
      <c r="O113" s="85"/>
    </row>
    <row r="114" spans="1:15" s="9" customFormat="1" ht="16.5" customHeight="1" x14ac:dyDescent="0.2">
      <c r="A114" s="8"/>
      <c r="B114" s="154">
        <f>IF(DAY(AprSun1)=1,AprSun1+1,AprSun1+8)</f>
        <v>44655</v>
      </c>
      <c r="C114" s="77"/>
      <c r="D114" s="76">
        <f>IF(DAY(AprSun1)=1,AprSun1+2,AprSun1+9)</f>
        <v>44656</v>
      </c>
      <c r="E114" s="77"/>
      <c r="F114" s="76">
        <f>IF(DAY(AprSun1)=1,AprSun1+3,AprSun1+10)</f>
        <v>44657</v>
      </c>
      <c r="G114" s="77"/>
      <c r="H114" s="76">
        <f>IF(DAY(AprSun1)=1,AprSun1+4,AprSun1+11)</f>
        <v>44658</v>
      </c>
      <c r="I114" s="77"/>
      <c r="J114" s="76">
        <f>IF(DAY(AprSun1)=1,AprSun1+5,AprSun1+12)</f>
        <v>44659</v>
      </c>
      <c r="K114" s="77"/>
      <c r="L114" s="76">
        <f>IF(DAY(AprSun1)=1,AprSun1+6,AprSun1+13)</f>
        <v>44660</v>
      </c>
      <c r="M114" s="77"/>
      <c r="N114" s="76">
        <f>IF(DAY(AprSun1)=1,AprSun1+7,AprSun1+14)</f>
        <v>44661</v>
      </c>
      <c r="O114" s="77"/>
    </row>
    <row r="115" spans="1:15" ht="55.5" customHeight="1" x14ac:dyDescent="0.2">
      <c r="A115" s="5"/>
      <c r="B115" s="155" t="s">
        <v>39</v>
      </c>
      <c r="C115" s="84"/>
      <c r="D115" s="84" t="s">
        <v>40</v>
      </c>
      <c r="E115" s="84"/>
      <c r="F115" s="125" t="s">
        <v>41</v>
      </c>
      <c r="G115" s="125"/>
      <c r="H115" s="84" t="s">
        <v>42</v>
      </c>
      <c r="I115" s="84"/>
      <c r="J115" s="84"/>
      <c r="K115" s="84"/>
      <c r="L115" s="82"/>
      <c r="M115" s="82"/>
      <c r="N115" s="82"/>
      <c r="O115" s="82"/>
    </row>
    <row r="116" spans="1:15" ht="8.25" customHeight="1" x14ac:dyDescent="0.2">
      <c r="A116" s="5"/>
      <c r="B116" s="151"/>
      <c r="C116" s="59"/>
      <c r="D116" s="59"/>
      <c r="E116" s="59"/>
      <c r="F116" s="59"/>
      <c r="G116" s="59"/>
      <c r="H116" s="59"/>
      <c r="I116" s="59"/>
      <c r="J116" s="59"/>
      <c r="K116" s="59"/>
      <c r="L116" s="85"/>
      <c r="M116" s="85"/>
      <c r="N116" s="85"/>
      <c r="O116" s="85"/>
    </row>
    <row r="117" spans="1:15" s="9" customFormat="1" ht="16.5" customHeight="1" x14ac:dyDescent="0.2">
      <c r="A117" s="8"/>
      <c r="B117" s="154">
        <f>IF(DAY(AprSun1)=1,AprSun1+8,AprSun1+15)</f>
        <v>44662</v>
      </c>
      <c r="C117" s="77"/>
      <c r="D117" s="76">
        <f>IF(DAY(AprSun1)=1,AprSun1+9,AprSun1+16)</f>
        <v>44663</v>
      </c>
      <c r="E117" s="77"/>
      <c r="F117" s="76">
        <f>IF(DAY(AprSun1)=1,AprSun1+10,AprSun1+17)</f>
        <v>44664</v>
      </c>
      <c r="G117" s="77"/>
      <c r="H117" s="76">
        <f>IF(DAY(AprSun1)=1,AprSun1+11,AprSun1+18)</f>
        <v>44665</v>
      </c>
      <c r="I117" s="77"/>
      <c r="J117" s="76">
        <f>IF(DAY(AprSun1)=1,AprSun1+12,AprSun1+19)</f>
        <v>44666</v>
      </c>
      <c r="K117" s="77"/>
      <c r="L117" s="76">
        <f>IF(DAY(AprSun1)=1,AprSun1+13,AprSun1+20)</f>
        <v>44667</v>
      </c>
      <c r="M117" s="77"/>
      <c r="N117" s="76">
        <f>IF(DAY(AprSun1)=1,AprSun1+14,AprSun1+21)</f>
        <v>44668</v>
      </c>
      <c r="O117" s="77"/>
    </row>
    <row r="118" spans="1:15" ht="55.5" customHeight="1" x14ac:dyDescent="0.2">
      <c r="A118" s="5"/>
      <c r="B118" s="155"/>
      <c r="C118" s="84"/>
      <c r="D118" s="84" t="s">
        <v>43</v>
      </c>
      <c r="E118" s="84"/>
      <c r="F118" s="125" t="s">
        <v>44</v>
      </c>
      <c r="G118" s="125"/>
      <c r="H118" s="125" t="s">
        <v>45</v>
      </c>
      <c r="I118" s="125"/>
      <c r="J118" s="125" t="s">
        <v>46</v>
      </c>
      <c r="K118" s="125"/>
      <c r="L118" s="82"/>
      <c r="M118" s="131"/>
      <c r="N118" s="34"/>
      <c r="O118" s="36"/>
    </row>
    <row r="119" spans="1:15" ht="8.25" customHeight="1" x14ac:dyDescent="0.2">
      <c r="A119" s="5"/>
      <c r="B119" s="151"/>
      <c r="C119" s="59"/>
      <c r="D119" s="59"/>
      <c r="E119" s="59"/>
      <c r="F119" s="59"/>
      <c r="G119" s="59"/>
      <c r="H119" s="59"/>
      <c r="I119" s="59"/>
      <c r="J119" s="59"/>
      <c r="K119" s="59"/>
      <c r="L119" s="85"/>
      <c r="M119" s="85"/>
      <c r="N119" s="85"/>
      <c r="O119" s="85"/>
    </row>
    <row r="120" spans="1:15" s="9" customFormat="1" ht="16.5" customHeight="1" x14ac:dyDescent="0.2">
      <c r="A120" s="8"/>
      <c r="B120" s="154">
        <f>IF(DAY(AprSun1)=1,AprSun1+15,AprSun1+22)</f>
        <v>44669</v>
      </c>
      <c r="C120" s="77"/>
      <c r="D120" s="76">
        <f>IF(DAY(AprSun1)=1,AprSun1+16,AprSun1+23)</f>
        <v>44670</v>
      </c>
      <c r="E120" s="77"/>
      <c r="F120" s="76">
        <f>IF(DAY(AprSun1)=1,AprSun1+17,AprSun1+24)</f>
        <v>44671</v>
      </c>
      <c r="G120" s="77"/>
      <c r="H120" s="76">
        <f>IF(DAY(AprSun1)=1,AprSun1+18,AprSun1+25)</f>
        <v>44672</v>
      </c>
      <c r="I120" s="77"/>
      <c r="J120" s="76">
        <f>IF(DAY(AprSun1)=1,AprSun1+19,AprSun1+26)</f>
        <v>44673</v>
      </c>
      <c r="K120" s="77"/>
      <c r="L120" s="76">
        <f>IF(DAY(AprSun1)=1,AprSun1+20,AprSun1+27)</f>
        <v>44674</v>
      </c>
      <c r="M120" s="77"/>
      <c r="N120" s="76">
        <f>IF(DAY(AprSun1)=1,AprSun1+21,AprSun1+28)</f>
        <v>44675</v>
      </c>
      <c r="O120" s="77"/>
    </row>
    <row r="121" spans="1:15" ht="55.5" customHeight="1" x14ac:dyDescent="0.2">
      <c r="A121" s="5"/>
      <c r="B121" s="155"/>
      <c r="C121" s="84"/>
      <c r="D121" s="84"/>
      <c r="E121" s="84"/>
      <c r="F121" s="84"/>
      <c r="G121" s="84"/>
      <c r="H121" s="84"/>
      <c r="I121" s="84"/>
      <c r="J121" s="84" t="s">
        <v>47</v>
      </c>
      <c r="K121" s="84"/>
      <c r="L121" s="82"/>
      <c r="M121" s="82"/>
      <c r="N121" s="82" t="s">
        <v>48</v>
      </c>
      <c r="O121" s="82"/>
    </row>
    <row r="122" spans="1:15" ht="8.25" customHeight="1" x14ac:dyDescent="0.2">
      <c r="A122" s="5"/>
      <c r="B122" s="151"/>
      <c r="C122" s="59"/>
      <c r="D122" s="59"/>
      <c r="E122" s="59"/>
      <c r="F122" s="59"/>
      <c r="G122" s="59"/>
      <c r="H122" s="59"/>
      <c r="I122" s="59"/>
      <c r="J122" s="59"/>
      <c r="K122" s="59"/>
      <c r="L122" s="85"/>
      <c r="M122" s="85"/>
      <c r="N122" s="85"/>
      <c r="O122" s="85"/>
    </row>
    <row r="123" spans="1:15" s="9" customFormat="1" ht="16.5" customHeight="1" x14ac:dyDescent="0.2">
      <c r="A123" s="8"/>
      <c r="B123" s="154">
        <f>IF(DAY(AprSun1)=1,AprSun1+22,AprSun1+29)</f>
        <v>44676</v>
      </c>
      <c r="C123" s="77"/>
      <c r="D123" s="76">
        <f>IF(DAY(AprSun1)=1,AprSun1+23,AprSun1+30)</f>
        <v>44677</v>
      </c>
      <c r="E123" s="77"/>
      <c r="F123" s="76">
        <f>IF(DAY(AprSun1)=1,AprSun1+24,AprSun1+31)</f>
        <v>44678</v>
      </c>
      <c r="G123" s="77"/>
      <c r="H123" s="76">
        <f>IF(DAY(AprSun1)=1,AprSun1+25,AprSun1+32)</f>
        <v>44679</v>
      </c>
      <c r="I123" s="77"/>
      <c r="J123" s="76">
        <f>IF(DAY(AprSun1)=1,AprSun1+26,AprSun1+33)</f>
        <v>44680</v>
      </c>
      <c r="K123" s="77"/>
      <c r="L123" s="76">
        <f>IF(DAY(AprSun1)=1,AprSun1+27,AprSun1+34)</f>
        <v>44681</v>
      </c>
      <c r="M123" s="77"/>
      <c r="N123" s="76">
        <f>IF(DAY(AprSun1)=1,AprSun1+28,AprSun1+35)</f>
        <v>44682</v>
      </c>
      <c r="O123" s="77"/>
    </row>
    <row r="124" spans="1:15" ht="55.5" customHeight="1" x14ac:dyDescent="0.2">
      <c r="A124" s="5"/>
      <c r="B124" s="156" t="s">
        <v>49</v>
      </c>
      <c r="C124" s="84"/>
      <c r="D124" s="84" t="s">
        <v>50</v>
      </c>
      <c r="E124" s="84"/>
      <c r="F124" s="84"/>
      <c r="G124" s="84"/>
      <c r="H124" s="84"/>
      <c r="I124" s="84"/>
      <c r="J124" s="130" t="s">
        <v>51</v>
      </c>
      <c r="K124" s="84"/>
      <c r="L124" s="82" t="s">
        <v>52</v>
      </c>
      <c r="M124" s="82"/>
      <c r="N124" s="82"/>
      <c r="O124" s="82"/>
    </row>
    <row r="125" spans="1:15" ht="8.25" customHeight="1" x14ac:dyDescent="0.2">
      <c r="A125" s="5"/>
      <c r="B125" s="151"/>
      <c r="C125" s="59"/>
      <c r="D125" s="59"/>
      <c r="E125" s="59"/>
      <c r="F125" s="59"/>
      <c r="G125" s="59"/>
      <c r="H125" s="59"/>
      <c r="I125" s="59"/>
      <c r="J125" s="59"/>
      <c r="K125" s="59"/>
      <c r="L125" s="85"/>
      <c r="M125" s="85"/>
      <c r="N125" s="85"/>
      <c r="O125" s="85"/>
    </row>
    <row r="126" spans="1:15" s="13" customFormat="1" ht="16.5" customHeight="1" x14ac:dyDescent="0.2">
      <c r="A126" s="12"/>
      <c r="B126" s="157">
        <f>IF(DAY(AprSun1)=1,AprSun1+29,AprSun1+36)</f>
        <v>44683</v>
      </c>
      <c r="C126" s="80"/>
      <c r="D126" s="81">
        <f>IF(DAY(AprSun1)=1,AprSun1+30,AprSun1+37)</f>
        <v>44684</v>
      </c>
      <c r="E126" s="80"/>
      <c r="F126" s="81">
        <f>IF(DAY(AprSun1)=1,AprSun1+31,AprSun1+38)</f>
        <v>44685</v>
      </c>
      <c r="G126" s="80"/>
      <c r="H126" s="81">
        <f>IF(DAY(AprSun1)=1,AprSun1+32,AprSun1+39)</f>
        <v>44686</v>
      </c>
      <c r="I126" s="80"/>
      <c r="J126" s="81">
        <f>IF(DAY(AprSun1)=1,AprSun1+33,AprSun1+40)</f>
        <v>44687</v>
      </c>
      <c r="K126" s="80"/>
      <c r="L126" s="81">
        <f>IF(DAY(AprSun1)=1,AprSun1+34,AprSun1+41)</f>
        <v>44688</v>
      </c>
      <c r="M126" s="80"/>
      <c r="N126" s="81">
        <f>IF(DAY(AprSun1)=1,AprSun1+35,AprSun1+42)</f>
        <v>44689</v>
      </c>
      <c r="O126" s="80"/>
    </row>
    <row r="127" spans="1:15" ht="55.5" customHeight="1" x14ac:dyDescent="0.2">
      <c r="A127" s="5"/>
      <c r="B127" s="158"/>
      <c r="C127" s="123"/>
      <c r="D127" s="123"/>
      <c r="E127" s="123"/>
      <c r="F127" s="124"/>
      <c r="G127" s="124"/>
      <c r="H127" s="124"/>
      <c r="I127" s="124"/>
      <c r="J127" s="124"/>
      <c r="K127" s="124"/>
      <c r="L127" s="122"/>
      <c r="M127" s="122"/>
      <c r="N127" s="122"/>
      <c r="O127" s="122"/>
    </row>
    <row r="128" spans="1:15" ht="7.5" customHeight="1" x14ac:dyDescent="0.2"/>
    <row r="129" spans="1:22" ht="14.25" customHeight="1" x14ac:dyDescent="0.2"/>
    <row r="130" spans="1:22" ht="54" customHeight="1" x14ac:dyDescent="0.2">
      <c r="A130" s="128" t="str">
        <f>TEXT(DATE(CalendarYear,5,1),"[$-D07041E]mmmm")</f>
        <v>พฤษภาคม</v>
      </c>
      <c r="B130" s="128"/>
      <c r="C130" s="128"/>
      <c r="D130" s="128"/>
      <c r="E130" s="128"/>
      <c r="F130" s="128"/>
      <c r="G130" s="128"/>
      <c r="H130" s="1"/>
      <c r="I130" s="2"/>
      <c r="J130" s="2"/>
      <c r="L130" s="126">
        <f>CalendarYear+543</f>
        <v>2565</v>
      </c>
      <c r="M130" s="126"/>
      <c r="N130" s="126"/>
      <c r="O130" s="126"/>
      <c r="P130" s="126"/>
    </row>
    <row r="131" spans="1:22" ht="19" customHeight="1" x14ac:dyDescent="0.3">
      <c r="A131" s="4"/>
      <c r="B131" s="141"/>
      <c r="C131" s="2"/>
      <c r="D131" s="2"/>
      <c r="E131" s="2"/>
      <c r="F131" s="2"/>
      <c r="G131" s="2"/>
      <c r="H131" s="2"/>
      <c r="I131" s="2"/>
      <c r="J131" s="2"/>
    </row>
    <row r="132" spans="1:22" ht="19" customHeight="1" x14ac:dyDescent="0.3">
      <c r="A132" s="4"/>
      <c r="B132" s="141"/>
      <c r="C132" s="2"/>
      <c r="D132" s="2"/>
      <c r="E132" s="2"/>
      <c r="F132" s="2"/>
      <c r="G132" s="2"/>
      <c r="H132" s="2"/>
      <c r="I132" s="2"/>
      <c r="J132" s="2"/>
    </row>
    <row r="133" spans="1:22" ht="19" customHeight="1" x14ac:dyDescent="0.3">
      <c r="A133" s="4"/>
      <c r="B133" s="141"/>
      <c r="C133" s="2"/>
      <c r="D133" s="2"/>
      <c r="E133" s="2"/>
      <c r="F133" s="2"/>
      <c r="G133" s="2"/>
      <c r="H133" s="2"/>
      <c r="I133" s="2"/>
      <c r="J133" s="2"/>
    </row>
    <row r="134" spans="1:22" ht="19" customHeight="1" x14ac:dyDescent="0.3">
      <c r="A134" s="4"/>
      <c r="B134" s="141"/>
      <c r="C134" s="2"/>
      <c r="D134" s="2"/>
      <c r="E134" s="2"/>
      <c r="F134" s="2"/>
      <c r="G134" s="2"/>
      <c r="H134" s="2"/>
      <c r="I134" s="2"/>
      <c r="J134" s="2"/>
    </row>
    <row r="135" spans="1:22" ht="19" customHeight="1" x14ac:dyDescent="0.3">
      <c r="A135" s="4"/>
      <c r="B135" s="141"/>
      <c r="C135" s="2"/>
      <c r="D135" s="2"/>
      <c r="E135" s="2"/>
      <c r="F135" s="2"/>
      <c r="G135" s="2"/>
      <c r="H135" s="2"/>
      <c r="I135" s="2"/>
      <c r="J135" s="2"/>
    </row>
    <row r="136" spans="1:22" ht="19" customHeight="1" x14ac:dyDescent="0.3">
      <c r="A136" s="4"/>
      <c r="B136" s="141"/>
      <c r="C136" s="2"/>
      <c r="D136" s="2"/>
      <c r="E136" s="2"/>
      <c r="F136" s="2"/>
      <c r="G136" s="2"/>
      <c r="H136" s="2"/>
      <c r="I136" s="2"/>
      <c r="J136" s="2"/>
    </row>
    <row r="137" spans="1:22" ht="19" customHeight="1" x14ac:dyDescent="0.3">
      <c r="A137" s="4"/>
      <c r="B137" s="141"/>
      <c r="C137" s="2"/>
      <c r="D137" s="2"/>
      <c r="E137" s="2"/>
      <c r="F137" s="2"/>
      <c r="G137" s="2"/>
      <c r="H137" s="2"/>
      <c r="I137" s="2"/>
      <c r="J137" s="2"/>
    </row>
    <row r="138" spans="1:22" ht="19" customHeight="1" x14ac:dyDescent="0.3">
      <c r="A138" s="4"/>
      <c r="B138" s="141"/>
      <c r="C138" s="2"/>
      <c r="D138" s="2"/>
      <c r="E138" s="2"/>
      <c r="F138" s="2"/>
      <c r="G138" s="2"/>
      <c r="H138" s="2"/>
      <c r="I138" s="2"/>
      <c r="J138" s="2"/>
    </row>
    <row r="139" spans="1:22" ht="19" customHeight="1" x14ac:dyDescent="0.3">
      <c r="A139" s="4"/>
      <c r="B139" s="141"/>
      <c r="C139" s="2"/>
      <c r="D139" s="2"/>
      <c r="E139" s="2"/>
      <c r="F139" s="2"/>
      <c r="G139" s="2"/>
      <c r="H139" s="2"/>
      <c r="I139" s="2"/>
      <c r="J139" s="2"/>
    </row>
    <row r="140" spans="1:22" ht="19" customHeight="1" x14ac:dyDescent="0.2">
      <c r="A140" s="5"/>
      <c r="B140" s="142"/>
      <c r="C140" s="6"/>
      <c r="D140" s="6"/>
      <c r="E140" s="6"/>
      <c r="F140" s="6"/>
      <c r="G140" s="6"/>
      <c r="H140" s="6"/>
      <c r="I140" s="6"/>
      <c r="J140" s="6"/>
      <c r="K140" s="6"/>
      <c r="L140" s="6"/>
      <c r="M140" s="6"/>
      <c r="N140" s="6"/>
      <c r="O140" s="6"/>
    </row>
    <row r="141" spans="1:22" s="5" customFormat="1" ht="27" customHeight="1" x14ac:dyDescent="0.2">
      <c r="B141" s="153" t="s">
        <v>6</v>
      </c>
      <c r="C141" s="127"/>
      <c r="D141" s="127" t="s">
        <v>5</v>
      </c>
      <c r="E141" s="127"/>
      <c r="F141" s="127" t="s">
        <v>4</v>
      </c>
      <c r="G141" s="127"/>
      <c r="H141" s="127" t="s">
        <v>3</v>
      </c>
      <c r="I141" s="127"/>
      <c r="J141" s="127" t="s">
        <v>2</v>
      </c>
      <c r="K141" s="127"/>
      <c r="L141" s="127" t="s">
        <v>1</v>
      </c>
      <c r="M141" s="127"/>
      <c r="N141" s="127" t="s">
        <v>0</v>
      </c>
      <c r="O141" s="127"/>
      <c r="P141" s="3"/>
      <c r="Q141" s="7"/>
      <c r="U141" s="3"/>
      <c r="V141" s="3"/>
    </row>
    <row r="142" spans="1:22" s="8" customFormat="1" ht="16.5" customHeight="1" x14ac:dyDescent="0.2">
      <c r="B142" s="154">
        <f>IF(DAY(MaySun1)=1,MaySun1-6,MaySun1+1)</f>
        <v>44676</v>
      </c>
      <c r="C142" s="77"/>
      <c r="D142" s="76">
        <f>IF(DAY(MaySun1)=1,MaySun1-5,MaySun1+2)</f>
        <v>44677</v>
      </c>
      <c r="E142" s="77"/>
      <c r="F142" s="76">
        <f>IF(DAY(MaySun1)=1,MaySun1-4,MaySun1+3)</f>
        <v>44678</v>
      </c>
      <c r="G142" s="77"/>
      <c r="H142" s="76">
        <f>IF(DAY(MaySun1)=1,MaySun1-3,MaySun1+4)</f>
        <v>44679</v>
      </c>
      <c r="I142" s="77"/>
      <c r="J142" s="76">
        <f>IF(DAY(MaySun1)=1,MaySun1-2,MaySun1+5)</f>
        <v>44680</v>
      </c>
      <c r="K142" s="77"/>
      <c r="L142" s="76">
        <f>IF(DAY(MaySun1)=1,MaySun1-1,MaySun1+6)</f>
        <v>44681</v>
      </c>
      <c r="M142" s="77"/>
      <c r="N142" s="76">
        <f>IF(DAY(MaySun1)=1,MaySun1,MaySun1+7)</f>
        <v>44682</v>
      </c>
      <c r="O142" s="77"/>
      <c r="P142" s="9"/>
      <c r="Q142" s="9"/>
      <c r="U142" s="10"/>
      <c r="V142" s="9"/>
    </row>
    <row r="143" spans="1:22" s="11" customFormat="1" ht="55.5" customHeight="1" x14ac:dyDescent="0.2">
      <c r="A143" s="5"/>
      <c r="B143" s="155"/>
      <c r="C143" s="84"/>
      <c r="D143" s="84"/>
      <c r="E143" s="84"/>
      <c r="F143" s="84"/>
      <c r="G143" s="84"/>
      <c r="H143" s="84"/>
      <c r="I143" s="84"/>
      <c r="J143" s="84"/>
      <c r="K143" s="84"/>
      <c r="L143" s="82"/>
      <c r="M143" s="82"/>
      <c r="N143" s="82" t="s">
        <v>53</v>
      </c>
      <c r="O143" s="82"/>
    </row>
    <row r="144" spans="1:22" s="11" customFormat="1" ht="8.25" customHeight="1" x14ac:dyDescent="0.2">
      <c r="A144" s="5"/>
      <c r="B144" s="151"/>
      <c r="C144" s="59"/>
      <c r="D144" s="59"/>
      <c r="E144" s="59"/>
      <c r="F144" s="59"/>
      <c r="G144" s="59"/>
      <c r="H144" s="59"/>
      <c r="I144" s="59"/>
      <c r="J144" s="59"/>
      <c r="K144" s="59"/>
      <c r="L144" s="56"/>
      <c r="M144" s="56"/>
      <c r="N144" s="56"/>
      <c r="O144" s="56"/>
    </row>
    <row r="145" spans="1:15" s="9" customFormat="1" ht="16.5" customHeight="1" x14ac:dyDescent="0.2">
      <c r="A145" s="8"/>
      <c r="B145" s="154">
        <f>IF(DAY(MaySun1)=1,MaySun1+1,MaySun1+8)</f>
        <v>44683</v>
      </c>
      <c r="C145" s="77"/>
      <c r="D145" s="76">
        <f>IF(DAY(MaySun1)=1,MaySun1+2,MaySun1+9)</f>
        <v>44684</v>
      </c>
      <c r="E145" s="77"/>
      <c r="F145" s="76">
        <f>IF(DAY(MaySun1)=1,MaySun1+3,MaySun1+10)</f>
        <v>44685</v>
      </c>
      <c r="G145" s="77"/>
      <c r="H145" s="76">
        <f>IF(DAY(MaySun1)=1,MaySun1+4,MaySun1+11)</f>
        <v>44686</v>
      </c>
      <c r="I145" s="77"/>
      <c r="J145" s="76">
        <f>IF(DAY(MaySun1)=1,MaySun1+5,MaySun1+12)</f>
        <v>44687</v>
      </c>
      <c r="K145" s="77"/>
      <c r="L145" s="76">
        <f>IF(DAY(MaySun1)=1,MaySun1+6,MaySun1+13)</f>
        <v>44688</v>
      </c>
      <c r="M145" s="77"/>
      <c r="N145" s="76">
        <f>IF(DAY(MaySun1)=1,MaySun1+7,MaySun1+14)</f>
        <v>44689</v>
      </c>
      <c r="O145" s="77"/>
    </row>
    <row r="146" spans="1:15" ht="55.5" customHeight="1" x14ac:dyDescent="0.2">
      <c r="A146" s="5"/>
      <c r="B146" s="155"/>
      <c r="C146" s="84"/>
      <c r="D146" s="84"/>
      <c r="E146" s="84"/>
      <c r="F146" s="125" t="s">
        <v>54</v>
      </c>
      <c r="G146" s="125"/>
      <c r="H146" s="84" t="s">
        <v>55</v>
      </c>
      <c r="I146" s="84"/>
      <c r="J146" s="84"/>
      <c r="K146" s="84"/>
      <c r="L146" s="82"/>
      <c r="M146" s="82"/>
      <c r="N146" s="82" t="s">
        <v>56</v>
      </c>
      <c r="O146" s="82"/>
    </row>
    <row r="147" spans="1:15" ht="8.25" customHeight="1" x14ac:dyDescent="0.2">
      <c r="A147" s="5"/>
      <c r="B147" s="151"/>
      <c r="C147" s="59"/>
      <c r="D147" s="59"/>
      <c r="E147" s="59"/>
      <c r="F147" s="59"/>
      <c r="G147" s="59"/>
      <c r="H147" s="59"/>
      <c r="I147" s="59"/>
      <c r="J147" s="59"/>
      <c r="K147" s="59"/>
      <c r="L147" s="56"/>
      <c r="M147" s="56"/>
      <c r="N147" s="56"/>
      <c r="O147" s="56"/>
    </row>
    <row r="148" spans="1:15" s="9" customFormat="1" ht="16.5" customHeight="1" x14ac:dyDescent="0.2">
      <c r="A148" s="8"/>
      <c r="B148" s="154">
        <f>IF(DAY(MaySun1)=1,MaySun1+8,MaySun1+15)</f>
        <v>44690</v>
      </c>
      <c r="C148" s="77"/>
      <c r="D148" s="76">
        <f>IF(DAY(MaySun1)=1,MaySun1+9,MaySun1+16)</f>
        <v>44691</v>
      </c>
      <c r="E148" s="77"/>
      <c r="F148" s="76">
        <f>IF(DAY(MaySun1)=1,MaySun1+10,MaySun1+17)</f>
        <v>44692</v>
      </c>
      <c r="G148" s="77"/>
      <c r="H148" s="76">
        <f>IF(DAY(MaySun1)=1,MaySun1+11,MaySun1+18)</f>
        <v>44693</v>
      </c>
      <c r="I148" s="77"/>
      <c r="J148" s="76">
        <f>IF(DAY(MaySun1)=1,MaySun1+12,MaySun1+19)</f>
        <v>44694</v>
      </c>
      <c r="K148" s="77"/>
      <c r="L148" s="76">
        <f>IF(DAY(MaySun1)=1,MaySun1+13,MaySun1+20)</f>
        <v>44695</v>
      </c>
      <c r="M148" s="77"/>
      <c r="N148" s="76">
        <f>IF(DAY(MaySun1)=1,MaySun1+14,MaySun1+21)</f>
        <v>44696</v>
      </c>
      <c r="O148" s="77"/>
    </row>
    <row r="149" spans="1:15" ht="55.5" customHeight="1" x14ac:dyDescent="0.2">
      <c r="A149" s="5"/>
      <c r="B149" s="155"/>
      <c r="C149" s="84"/>
      <c r="D149" s="84"/>
      <c r="E149" s="84"/>
      <c r="F149" s="84"/>
      <c r="G149" s="84"/>
      <c r="H149" s="84" t="s">
        <v>57</v>
      </c>
      <c r="I149" s="84"/>
      <c r="J149" s="84"/>
      <c r="K149" s="84"/>
      <c r="L149" s="82"/>
      <c r="M149" s="82"/>
      <c r="N149" s="82" t="s">
        <v>58</v>
      </c>
      <c r="O149" s="82"/>
    </row>
    <row r="150" spans="1:15" ht="8.25" customHeight="1" x14ac:dyDescent="0.2">
      <c r="A150" s="5"/>
      <c r="B150" s="151"/>
      <c r="C150" s="59"/>
      <c r="D150" s="59"/>
      <c r="E150" s="59"/>
      <c r="F150" s="59"/>
      <c r="G150" s="59"/>
      <c r="H150" s="59"/>
      <c r="I150" s="59"/>
      <c r="J150" s="59"/>
      <c r="K150" s="59"/>
      <c r="L150" s="56"/>
      <c r="M150" s="56"/>
      <c r="N150" s="56"/>
      <c r="O150" s="56"/>
    </row>
    <row r="151" spans="1:15" s="9" customFormat="1" ht="16.5" customHeight="1" x14ac:dyDescent="0.2">
      <c r="A151" s="8"/>
      <c r="B151" s="154">
        <f>IF(DAY(MaySun1)=1,MaySun1+15,MaySun1+22)</f>
        <v>44697</v>
      </c>
      <c r="C151" s="77"/>
      <c r="D151" s="76">
        <f>IF(DAY(MaySun1)=1,MaySun1+16,MaySun1+23)</f>
        <v>44698</v>
      </c>
      <c r="E151" s="77"/>
      <c r="F151" s="76">
        <f>IF(DAY(MaySun1)=1,MaySun1+17,MaySun1+24)</f>
        <v>44699</v>
      </c>
      <c r="G151" s="77"/>
      <c r="H151" s="76">
        <f>IF(DAY(MaySun1)=1,MaySun1+18,MaySun1+25)</f>
        <v>44700</v>
      </c>
      <c r="I151" s="77"/>
      <c r="J151" s="76">
        <f>IF(DAY(MaySun1)=1,MaySun1+19,MaySun1+26)</f>
        <v>44701</v>
      </c>
      <c r="K151" s="77"/>
      <c r="L151" s="76">
        <f>IF(DAY(MaySun1)=1,MaySun1+20,MaySun1+27)</f>
        <v>44702</v>
      </c>
      <c r="M151" s="77"/>
      <c r="N151" s="30">
        <f>IF(DAY(MaySun1)=1,MaySun1+21,MaySun1+28)</f>
        <v>44703</v>
      </c>
      <c r="O151" s="29"/>
    </row>
    <row r="152" spans="1:15" ht="55.5" customHeight="1" x14ac:dyDescent="0.2">
      <c r="A152" s="5"/>
      <c r="B152" s="159" t="s">
        <v>58</v>
      </c>
      <c r="C152" s="125"/>
      <c r="D152" s="84"/>
      <c r="E152" s="84"/>
      <c r="F152" s="84"/>
      <c r="G152" s="84"/>
      <c r="H152" s="84"/>
      <c r="I152" s="84"/>
      <c r="J152" s="84"/>
      <c r="K152" s="84"/>
      <c r="L152" s="82"/>
      <c r="M152" s="82"/>
      <c r="N152" s="82" t="s">
        <v>59</v>
      </c>
      <c r="O152" s="82"/>
    </row>
    <row r="153" spans="1:15" ht="8.25" customHeight="1" x14ac:dyDescent="0.2">
      <c r="A153" s="5"/>
      <c r="B153" s="151"/>
      <c r="C153" s="59"/>
      <c r="D153" s="59"/>
      <c r="E153" s="59"/>
      <c r="F153" s="59"/>
      <c r="G153" s="59"/>
      <c r="H153" s="59"/>
      <c r="I153" s="59"/>
      <c r="J153" s="59"/>
      <c r="K153" s="59"/>
      <c r="L153" s="56"/>
      <c r="M153" s="56"/>
      <c r="N153" s="56"/>
      <c r="O153" s="56"/>
    </row>
    <row r="154" spans="1:15" s="9" customFormat="1" ht="16.5" customHeight="1" x14ac:dyDescent="0.2">
      <c r="A154" s="8"/>
      <c r="B154" s="154">
        <f>IF(DAY(MaySun1)=1,MaySun1+22,MaySun1+29)</f>
        <v>44704</v>
      </c>
      <c r="C154" s="77"/>
      <c r="D154" s="76">
        <f>IF(DAY(MaySun1)=1,MaySun1+23,MaySun1+30)</f>
        <v>44705</v>
      </c>
      <c r="E154" s="77"/>
      <c r="F154" s="76">
        <f>IF(DAY(MaySun1)=1,MaySun1+24,MaySun1+31)</f>
        <v>44706</v>
      </c>
      <c r="G154" s="77"/>
      <c r="H154" s="76">
        <f>IF(DAY(MaySun1)=1,MaySun1+25,MaySun1+32)</f>
        <v>44707</v>
      </c>
      <c r="I154" s="77"/>
      <c r="J154" s="76">
        <f>IF(DAY(MaySun1)=1,MaySun1+26,MaySun1+33)</f>
        <v>44708</v>
      </c>
      <c r="K154" s="77"/>
      <c r="L154" s="76">
        <f>IF(DAY(MaySun1)=1,MaySun1+27,MaySun1+34)</f>
        <v>44709</v>
      </c>
      <c r="M154" s="77"/>
      <c r="N154" s="76">
        <f>IF(DAY(MaySun1)=1,MaySun1+28,MaySun1+35)</f>
        <v>44710</v>
      </c>
      <c r="O154" s="77"/>
    </row>
    <row r="155" spans="1:15" ht="55.5" customHeight="1" x14ac:dyDescent="0.2">
      <c r="A155" s="5"/>
      <c r="B155" s="155" t="s">
        <v>60</v>
      </c>
      <c r="C155" s="84"/>
      <c r="D155" s="84"/>
      <c r="E155" s="84"/>
      <c r="F155" s="84"/>
      <c r="G155" s="84"/>
      <c r="H155" s="84"/>
      <c r="I155" s="84"/>
      <c r="J155" s="84"/>
      <c r="K155" s="84"/>
      <c r="L155" s="82"/>
      <c r="M155" s="82"/>
      <c r="N155" s="82"/>
      <c r="O155" s="82"/>
    </row>
    <row r="156" spans="1:15" ht="8.25" customHeight="1" x14ac:dyDescent="0.2">
      <c r="A156" s="5"/>
      <c r="B156" s="151"/>
      <c r="C156" s="59"/>
      <c r="D156" s="59"/>
      <c r="E156" s="59"/>
      <c r="F156" s="59"/>
      <c r="G156" s="59"/>
      <c r="H156" s="59"/>
      <c r="I156" s="59"/>
      <c r="J156" s="59"/>
      <c r="K156" s="59"/>
      <c r="L156" s="56"/>
      <c r="M156" s="56"/>
      <c r="N156" s="56"/>
      <c r="O156" s="56"/>
    </row>
    <row r="157" spans="1:15" s="9" customFormat="1" ht="16.5" customHeight="1" x14ac:dyDescent="0.2">
      <c r="A157" s="8"/>
      <c r="B157" s="154">
        <f>IF(DAY(MaySun1)=1,MaySun1+29,MaySun1+36)</f>
        <v>44711</v>
      </c>
      <c r="C157" s="77"/>
      <c r="D157" s="76">
        <f>IF(DAY(MaySun1)=1,MaySun1+30,MaySun1+37)</f>
        <v>44712</v>
      </c>
      <c r="E157" s="77"/>
      <c r="F157" s="76">
        <f>IF(DAY(MaySun1)=1,MaySun1+31,MaySun1+38)</f>
        <v>44713</v>
      </c>
      <c r="G157" s="77"/>
      <c r="H157" s="76">
        <f>IF(DAY(MaySun1)=1,MaySun1+32,MaySun1+39)</f>
        <v>44714</v>
      </c>
      <c r="I157" s="77"/>
      <c r="J157" s="76">
        <f>IF(DAY(MaySun1)=1,MaySun1+33,MaySun1+40)</f>
        <v>44715</v>
      </c>
      <c r="K157" s="77"/>
      <c r="L157" s="76">
        <f>IF(DAY(MaySun1)=1,MaySun1+34,MaySun1+41)</f>
        <v>44716</v>
      </c>
      <c r="M157" s="77"/>
      <c r="N157" s="76">
        <f>IF(DAY(MaySun1)=1,MaySun1+35,MaySun1+42)</f>
        <v>44717</v>
      </c>
      <c r="O157" s="77"/>
    </row>
    <row r="158" spans="1:15" ht="55.5" customHeight="1" x14ac:dyDescent="0.2">
      <c r="A158" s="5"/>
      <c r="B158" s="158"/>
      <c r="C158" s="123"/>
      <c r="D158" s="123" t="s">
        <v>61</v>
      </c>
      <c r="E158" s="123"/>
      <c r="F158" s="124"/>
      <c r="G158" s="124"/>
      <c r="H158" s="124"/>
      <c r="I158" s="124"/>
      <c r="J158" s="124"/>
      <c r="K158" s="124"/>
      <c r="L158" s="122"/>
      <c r="M158" s="122"/>
      <c r="N158" s="122"/>
      <c r="O158" s="122"/>
    </row>
    <row r="159" spans="1:15" ht="7.5" customHeight="1" x14ac:dyDescent="0.2">
      <c r="B159" s="143"/>
      <c r="C159" s="11"/>
      <c r="D159" s="11"/>
      <c r="E159" s="11"/>
      <c r="F159" s="11"/>
      <c r="G159" s="11"/>
      <c r="H159" s="11"/>
      <c r="I159" s="11"/>
      <c r="J159" s="11"/>
      <c r="K159" s="11"/>
      <c r="L159" s="11"/>
      <c r="M159" s="11"/>
      <c r="N159" s="11"/>
      <c r="O159" s="11"/>
    </row>
    <row r="160" spans="1:15" ht="14.25" customHeight="1" x14ac:dyDescent="0.2"/>
    <row r="161" spans="1:22" ht="54" customHeight="1" x14ac:dyDescent="0.2">
      <c r="A161" s="115" t="str">
        <f>TEXT(DATE(CalendarYear,6,1),"[$-D07041E]mmmm")</f>
        <v>มิถุนายน</v>
      </c>
      <c r="B161" s="115"/>
      <c r="C161" s="115"/>
      <c r="D161" s="115"/>
      <c r="E161" s="115"/>
      <c r="F161" s="115"/>
      <c r="G161" s="115"/>
      <c r="H161" s="1"/>
      <c r="I161" s="2"/>
      <c r="J161" s="2"/>
      <c r="L161" s="114">
        <f>CalendarYear+543</f>
        <v>2565</v>
      </c>
      <c r="M161" s="114"/>
      <c r="N161" s="114"/>
      <c r="O161" s="114"/>
      <c r="P161" s="114"/>
    </row>
    <row r="162" spans="1:22" ht="19" customHeight="1" x14ac:dyDescent="0.3">
      <c r="A162" s="4"/>
      <c r="B162" s="141"/>
      <c r="C162" s="2"/>
      <c r="D162" s="2"/>
      <c r="E162" s="2"/>
      <c r="F162" s="2"/>
      <c r="G162" s="2"/>
      <c r="H162" s="2"/>
      <c r="I162" s="2"/>
      <c r="J162" s="2"/>
    </row>
    <row r="163" spans="1:22" ht="19" customHeight="1" x14ac:dyDescent="0.3">
      <c r="A163" s="4"/>
      <c r="B163" s="141"/>
      <c r="C163" s="2"/>
      <c r="D163" s="2"/>
      <c r="E163" s="2"/>
      <c r="F163" s="2"/>
      <c r="G163" s="2"/>
      <c r="H163" s="2"/>
      <c r="I163" s="2"/>
      <c r="J163" s="2"/>
    </row>
    <row r="164" spans="1:22" ht="19" customHeight="1" x14ac:dyDescent="0.3">
      <c r="A164" s="4"/>
      <c r="B164" s="141"/>
      <c r="C164" s="2"/>
      <c r="D164" s="2"/>
      <c r="E164" s="2"/>
      <c r="F164" s="2"/>
      <c r="G164" s="2"/>
      <c r="H164" s="2"/>
      <c r="I164" s="2"/>
      <c r="J164" s="2"/>
    </row>
    <row r="165" spans="1:22" ht="19" customHeight="1" x14ac:dyDescent="0.3">
      <c r="A165" s="4"/>
      <c r="B165" s="141"/>
      <c r="C165" s="2"/>
      <c r="D165" s="2"/>
      <c r="E165" s="2"/>
      <c r="F165" s="2"/>
      <c r="G165" s="2"/>
      <c r="H165" s="2"/>
      <c r="I165" s="2"/>
      <c r="J165" s="2"/>
    </row>
    <row r="166" spans="1:22" ht="19" customHeight="1" x14ac:dyDescent="0.3">
      <c r="A166" s="4"/>
      <c r="B166" s="141"/>
      <c r="C166" s="2"/>
      <c r="D166" s="2"/>
      <c r="E166" s="2"/>
      <c r="F166" s="2"/>
      <c r="G166" s="2"/>
      <c r="H166" s="2"/>
      <c r="I166" s="2"/>
      <c r="J166" s="2"/>
    </row>
    <row r="167" spans="1:22" ht="19" customHeight="1" x14ac:dyDescent="0.3">
      <c r="A167" s="4"/>
      <c r="B167" s="141"/>
      <c r="C167" s="2"/>
      <c r="D167" s="2"/>
      <c r="E167" s="2"/>
      <c r="F167" s="2"/>
      <c r="G167" s="2"/>
      <c r="H167" s="2"/>
      <c r="I167" s="2"/>
      <c r="J167" s="2"/>
    </row>
    <row r="168" spans="1:22" ht="19" customHeight="1" x14ac:dyDescent="0.3">
      <c r="A168" s="4"/>
      <c r="B168" s="141"/>
      <c r="C168" s="2"/>
      <c r="D168" s="2"/>
      <c r="E168" s="2"/>
      <c r="F168" s="2"/>
      <c r="G168" s="2"/>
      <c r="H168" s="2"/>
      <c r="I168" s="2"/>
      <c r="J168" s="2"/>
    </row>
    <row r="169" spans="1:22" ht="19" customHeight="1" x14ac:dyDescent="0.3">
      <c r="A169" s="4"/>
      <c r="B169" s="141"/>
      <c r="C169" s="2"/>
      <c r="D169" s="2"/>
      <c r="E169" s="2"/>
      <c r="F169" s="2"/>
      <c r="G169" s="2"/>
      <c r="H169" s="2"/>
      <c r="I169" s="2"/>
      <c r="J169" s="2"/>
    </row>
    <row r="170" spans="1:22" ht="19" customHeight="1" x14ac:dyDescent="0.3">
      <c r="A170" s="4"/>
      <c r="B170" s="141"/>
      <c r="C170" s="2"/>
      <c r="D170" s="2"/>
      <c r="E170" s="2"/>
      <c r="F170" s="2"/>
      <c r="G170" s="2"/>
      <c r="H170" s="2"/>
      <c r="I170" s="2"/>
      <c r="J170" s="2"/>
    </row>
    <row r="171" spans="1:22" ht="19" customHeight="1" x14ac:dyDescent="0.3">
      <c r="A171" s="4"/>
      <c r="B171" s="141"/>
      <c r="C171" s="2"/>
      <c r="D171" s="2"/>
      <c r="E171" s="2"/>
      <c r="F171" s="2"/>
      <c r="G171" s="2"/>
      <c r="H171" s="2"/>
      <c r="I171" s="2"/>
      <c r="J171" s="2"/>
    </row>
    <row r="172" spans="1:22" ht="19" customHeight="1" x14ac:dyDescent="0.2">
      <c r="A172" s="5"/>
      <c r="B172" s="142"/>
      <c r="C172" s="6"/>
      <c r="D172" s="6"/>
      <c r="E172" s="6"/>
      <c r="F172" s="6"/>
      <c r="G172" s="6"/>
      <c r="H172" s="6"/>
      <c r="I172" s="6"/>
      <c r="J172" s="6"/>
      <c r="K172" s="6"/>
      <c r="L172" s="6"/>
      <c r="M172" s="6"/>
      <c r="N172" s="6"/>
      <c r="O172" s="6"/>
    </row>
    <row r="173" spans="1:22" s="5" customFormat="1" ht="27" customHeight="1" x14ac:dyDescent="0.2">
      <c r="B173" s="160" t="s">
        <v>6</v>
      </c>
      <c r="C173" s="96"/>
      <c r="D173" s="96" t="s">
        <v>5</v>
      </c>
      <c r="E173" s="96"/>
      <c r="F173" s="96" t="s">
        <v>4</v>
      </c>
      <c r="G173" s="96"/>
      <c r="H173" s="96" t="s">
        <v>3</v>
      </c>
      <c r="I173" s="96"/>
      <c r="J173" s="96" t="s">
        <v>2</v>
      </c>
      <c r="K173" s="96"/>
      <c r="L173" s="96" t="s">
        <v>1</v>
      </c>
      <c r="M173" s="96"/>
      <c r="N173" s="96" t="s">
        <v>0</v>
      </c>
      <c r="O173" s="96"/>
      <c r="P173" s="3"/>
      <c r="Q173" s="7"/>
      <c r="U173" s="3"/>
      <c r="V173" s="3"/>
    </row>
    <row r="174" spans="1:22" s="8" customFormat="1" ht="16.5" customHeight="1" x14ac:dyDescent="0.2">
      <c r="B174" s="161">
        <f>IF(DAY(JunSun1)=1,JunSun1-6,JunSun1+1)</f>
        <v>44711</v>
      </c>
      <c r="C174" s="66"/>
      <c r="D174" s="67">
        <f>IF(DAY(JunSun1)=1,JunSun1-5,JunSun1+2)</f>
        <v>44712</v>
      </c>
      <c r="E174" s="66"/>
      <c r="F174" s="67">
        <f>IF(DAY(JunSun1)=1,JunSun1-4,JunSun1+3)</f>
        <v>44713</v>
      </c>
      <c r="G174" s="66"/>
      <c r="H174" s="67">
        <f>IF(DAY(JunSun1)=1,JunSun1-3,JunSun1+4)</f>
        <v>44714</v>
      </c>
      <c r="I174" s="66"/>
      <c r="J174" s="67">
        <f>IF(DAY(JunSun1)=1,JunSun1-2,JunSun1+5)</f>
        <v>44715</v>
      </c>
      <c r="K174" s="66"/>
      <c r="L174" s="67">
        <f>IF(DAY(JunSun1)=1,JunSun1-1,JunSun1+6)</f>
        <v>44716</v>
      </c>
      <c r="M174" s="66"/>
      <c r="N174" s="67">
        <f>IF(DAY(JunSun1)=1,JunSun1,JunSun1+7)</f>
        <v>44717</v>
      </c>
      <c r="O174" s="66"/>
      <c r="P174" s="9"/>
      <c r="Q174" s="9"/>
      <c r="U174" s="10"/>
      <c r="V174" s="9"/>
    </row>
    <row r="175" spans="1:22" s="11" customFormat="1" ht="55.5" customHeight="1" x14ac:dyDescent="0.2">
      <c r="A175" s="5"/>
      <c r="B175" s="162"/>
      <c r="C175" s="71"/>
      <c r="D175" s="71"/>
      <c r="E175" s="71"/>
      <c r="F175" s="71" t="s">
        <v>62</v>
      </c>
      <c r="G175" s="71"/>
      <c r="H175" s="71"/>
      <c r="I175" s="71"/>
      <c r="J175" s="119" t="s">
        <v>63</v>
      </c>
      <c r="K175" s="120"/>
      <c r="L175" s="70"/>
      <c r="M175" s="70"/>
      <c r="N175" s="70" t="s">
        <v>64</v>
      </c>
      <c r="O175" s="70"/>
    </row>
    <row r="176" spans="1:22" s="11" customFormat="1" ht="8.25" customHeight="1" x14ac:dyDescent="0.2">
      <c r="A176" s="5"/>
      <c r="B176" s="151"/>
      <c r="C176" s="59"/>
      <c r="D176" s="59"/>
      <c r="E176" s="59"/>
      <c r="F176" s="59"/>
      <c r="G176" s="59"/>
      <c r="H176" s="59"/>
      <c r="I176" s="59"/>
      <c r="J176" s="121"/>
      <c r="K176" s="121"/>
      <c r="L176" s="56"/>
      <c r="M176" s="56"/>
      <c r="N176" s="56"/>
      <c r="O176" s="56"/>
    </row>
    <row r="177" spans="1:16" s="9" customFormat="1" ht="16.5" customHeight="1" x14ac:dyDescent="0.2">
      <c r="A177" s="8"/>
      <c r="B177" s="161">
        <f>IF(DAY(JunSun1)=1,JunSun1+1,JunSun1+8)</f>
        <v>44718</v>
      </c>
      <c r="C177" s="66"/>
      <c r="D177" s="67">
        <f>IF(DAY(JunSun1)=1,JunSun1+2,JunSun1+9)</f>
        <v>44719</v>
      </c>
      <c r="E177" s="66"/>
      <c r="F177" s="67">
        <f>IF(DAY(JunSun1)=1,JunSun1+3,JunSun1+10)</f>
        <v>44720</v>
      </c>
      <c r="G177" s="66"/>
      <c r="H177" s="67">
        <f>IF(DAY(JunSun1)=1,JunSun1+4,JunSun1+11)</f>
        <v>44721</v>
      </c>
      <c r="I177" s="66"/>
      <c r="J177" s="67">
        <f>IF(DAY(JunSun1)=1,JunSun1+5,JunSun1+12)</f>
        <v>44722</v>
      </c>
      <c r="K177" s="66"/>
      <c r="L177" s="67">
        <f>IF(DAY(JunSun1)=1,JunSun1+6,JunSun1+13)</f>
        <v>44723</v>
      </c>
      <c r="M177" s="66"/>
      <c r="N177" s="67">
        <f>IF(DAY(JunSun1)=1,JunSun1+7,JunSun1+14)</f>
        <v>44724</v>
      </c>
      <c r="O177" s="66"/>
    </row>
    <row r="178" spans="1:16" ht="55.5" customHeight="1" x14ac:dyDescent="0.2">
      <c r="A178" s="5"/>
      <c r="B178" s="162"/>
      <c r="C178" s="71"/>
      <c r="D178" s="71"/>
      <c r="E178" s="71"/>
      <c r="F178" s="71" t="s">
        <v>65</v>
      </c>
      <c r="G178" s="71"/>
      <c r="H178" s="71" t="s">
        <v>66</v>
      </c>
      <c r="I178" s="71"/>
      <c r="J178" s="71"/>
      <c r="K178" s="71"/>
      <c r="L178" s="70"/>
      <c r="M178" s="70"/>
      <c r="N178" s="70" t="s">
        <v>67</v>
      </c>
      <c r="O178" s="70"/>
    </row>
    <row r="179" spans="1:16" ht="8.25" customHeight="1" x14ac:dyDescent="0.2">
      <c r="A179" s="5"/>
      <c r="B179" s="151"/>
      <c r="C179" s="59"/>
      <c r="D179" s="59"/>
      <c r="E179" s="59"/>
      <c r="F179" s="59"/>
      <c r="G179" s="59"/>
      <c r="H179" s="59"/>
      <c r="I179" s="59"/>
      <c r="J179" s="59"/>
      <c r="K179" s="59"/>
      <c r="L179" s="56"/>
      <c r="M179" s="56"/>
      <c r="N179" s="56"/>
      <c r="O179" s="56"/>
    </row>
    <row r="180" spans="1:16" s="9" customFormat="1" ht="16.5" customHeight="1" x14ac:dyDescent="0.2">
      <c r="A180" s="8"/>
      <c r="B180" s="161">
        <f>IF(DAY(JunSun1)=1,JunSun1+8,JunSun1+15)</f>
        <v>44725</v>
      </c>
      <c r="C180" s="66"/>
      <c r="D180" s="67">
        <f>IF(DAY(JunSun1)=1,JunSun1+9,JunSun1+16)</f>
        <v>44726</v>
      </c>
      <c r="E180" s="66"/>
      <c r="F180" s="67">
        <f>IF(DAY(JunSun1)=1,JunSun1+10,JunSun1+17)</f>
        <v>44727</v>
      </c>
      <c r="G180" s="66"/>
      <c r="H180" s="67">
        <f>IF(DAY(JunSun1)=1,JunSun1+11,JunSun1+18)</f>
        <v>44728</v>
      </c>
      <c r="I180" s="66"/>
      <c r="J180" s="67">
        <f>IF(DAY(JunSun1)=1,JunSun1+12,JunSun1+19)</f>
        <v>44729</v>
      </c>
      <c r="K180" s="66"/>
      <c r="L180" s="67">
        <f>IF(DAY(JunSun1)=1,JunSun1+13,JunSun1+20)</f>
        <v>44730</v>
      </c>
      <c r="M180" s="66"/>
      <c r="N180" s="67">
        <f>IF(DAY(JunSun1)=1,JunSun1+14,JunSun1+21)</f>
        <v>44731</v>
      </c>
      <c r="O180" s="66"/>
    </row>
    <row r="181" spans="1:16" s="42" customFormat="1" ht="53" customHeight="1" x14ac:dyDescent="0.2">
      <c r="A181" s="39"/>
      <c r="B181" s="145"/>
      <c r="C181" s="40"/>
      <c r="D181" s="41"/>
      <c r="E181" s="40"/>
      <c r="F181" s="41"/>
      <c r="G181" s="40"/>
      <c r="H181" s="41"/>
      <c r="I181" s="40"/>
      <c r="J181" s="41" t="s">
        <v>68</v>
      </c>
      <c r="K181" s="40"/>
      <c r="L181" s="43"/>
      <c r="M181" s="44"/>
      <c r="N181" s="43"/>
      <c r="O181" s="44"/>
    </row>
    <row r="182" spans="1:16" s="9" customFormat="1" ht="16.5" customHeight="1" x14ac:dyDescent="0.2">
      <c r="A182" s="8"/>
      <c r="B182" s="161">
        <f>IF(DAY(JunSun1)=1,JunSun1+15,JunSun1+22)</f>
        <v>44732</v>
      </c>
      <c r="C182" s="66"/>
      <c r="D182" s="67">
        <f>IF(DAY(JunSun1)=1,JunSun1+16,JunSun1+23)</f>
        <v>44733</v>
      </c>
      <c r="E182" s="66"/>
      <c r="F182" s="67">
        <f>IF(DAY(JunSun1)=1,JunSun1+17,JunSun1+24)</f>
        <v>44734</v>
      </c>
      <c r="G182" s="66"/>
      <c r="H182" s="67">
        <f>IF(DAY(JunSun1)=1,JunSun1+18,JunSun1+25)</f>
        <v>44735</v>
      </c>
      <c r="I182" s="66"/>
      <c r="J182" s="67">
        <f>IF(DAY(JunSun1)=1,JunSun1+19,JunSun1+26)</f>
        <v>44736</v>
      </c>
      <c r="K182" s="66"/>
      <c r="L182" s="67">
        <f>IF(DAY(JunSun1)=1,JunSun1+20,JunSun1+27)</f>
        <v>44737</v>
      </c>
      <c r="M182" s="66"/>
      <c r="N182" s="67">
        <f>IF(DAY(JunSun1)=1,JunSun1+21,JunSun1+28)</f>
        <v>44738</v>
      </c>
      <c r="O182" s="66"/>
    </row>
    <row r="183" spans="1:16" ht="55.5" customHeight="1" x14ac:dyDescent="0.2">
      <c r="A183" s="5"/>
      <c r="B183" s="162" t="s">
        <v>69</v>
      </c>
      <c r="C183" s="71"/>
      <c r="D183" s="71"/>
      <c r="E183" s="71"/>
      <c r="F183" s="71"/>
      <c r="G183" s="71"/>
      <c r="H183" s="71"/>
      <c r="I183" s="71"/>
      <c r="J183" s="71" t="s">
        <v>70</v>
      </c>
      <c r="K183" s="71"/>
      <c r="L183" s="70"/>
      <c r="M183" s="70"/>
      <c r="N183" s="70" t="s">
        <v>71</v>
      </c>
      <c r="O183" s="70"/>
    </row>
    <row r="184" spans="1:16" ht="8.25" customHeight="1" x14ac:dyDescent="0.2">
      <c r="A184" s="5"/>
      <c r="B184" s="163"/>
      <c r="C184" s="118"/>
      <c r="D184" s="59"/>
      <c r="E184" s="59"/>
      <c r="F184" s="59"/>
      <c r="G184" s="59"/>
      <c r="H184" s="59"/>
      <c r="I184" s="59"/>
      <c r="J184" s="59"/>
      <c r="K184" s="59"/>
      <c r="L184" s="56"/>
      <c r="M184" s="56"/>
      <c r="N184" s="56"/>
      <c r="O184" s="56"/>
    </row>
    <row r="185" spans="1:16" s="9" customFormat="1" ht="16.5" customHeight="1" x14ac:dyDescent="0.2">
      <c r="A185" s="8"/>
      <c r="B185" s="161">
        <f>IF(DAY(JunSun1)=1,JunSun1+22,JunSun1+29)</f>
        <v>44739</v>
      </c>
      <c r="C185" s="66"/>
      <c r="D185" s="67">
        <f>IF(DAY(JunSun1)=1,JunSun1+23,JunSun1+30)</f>
        <v>44740</v>
      </c>
      <c r="E185" s="66"/>
      <c r="F185" s="67">
        <f>IF(DAY(JunSun1)=1,JunSun1+24,JunSun1+31)</f>
        <v>44741</v>
      </c>
      <c r="G185" s="66"/>
      <c r="H185" s="67">
        <f>IF(DAY(JunSun1)=1,JunSun1+25,JunSun1+32)</f>
        <v>44742</v>
      </c>
      <c r="I185" s="66"/>
      <c r="J185" s="67">
        <f>IF(DAY(JunSun1)=1,JunSun1+26,JunSun1+33)</f>
        <v>44743</v>
      </c>
      <c r="K185" s="66"/>
      <c r="L185" s="67">
        <f>IF(DAY(JunSun1)=1,JunSun1+27,JunSun1+34)</f>
        <v>44744</v>
      </c>
      <c r="M185" s="66"/>
      <c r="N185" s="67">
        <f>IF(DAY(JunSun1)=1,JunSun1+28,JunSun1+35)</f>
        <v>44745</v>
      </c>
      <c r="O185" s="66"/>
    </row>
    <row r="186" spans="1:16" ht="55.5" customHeight="1" x14ac:dyDescent="0.2">
      <c r="A186" s="5"/>
      <c r="B186" s="162"/>
      <c r="C186" s="71"/>
      <c r="D186" s="71"/>
      <c r="E186" s="71"/>
      <c r="F186" s="71"/>
      <c r="G186" s="71"/>
      <c r="H186" s="71"/>
      <c r="I186" s="71"/>
      <c r="J186" s="71"/>
      <c r="K186" s="71"/>
      <c r="L186" s="70"/>
      <c r="M186" s="70"/>
      <c r="N186" s="70"/>
      <c r="O186" s="70"/>
    </row>
    <row r="187" spans="1:16" ht="8.25" customHeight="1" x14ac:dyDescent="0.2">
      <c r="A187" s="5"/>
      <c r="B187" s="151"/>
      <c r="C187" s="59"/>
      <c r="D187" s="59"/>
      <c r="E187" s="59"/>
      <c r="F187" s="59"/>
      <c r="G187" s="59"/>
      <c r="H187" s="59"/>
      <c r="I187" s="59"/>
      <c r="J187" s="59"/>
      <c r="K187" s="59"/>
      <c r="L187" s="56"/>
      <c r="M187" s="56"/>
      <c r="N187" s="56"/>
      <c r="O187" s="56"/>
    </row>
    <row r="188" spans="1:16" s="9" customFormat="1" ht="16.5" customHeight="1" x14ac:dyDescent="0.2">
      <c r="A188" s="8"/>
      <c r="B188" s="161">
        <f>IF(DAY(JunSun1)=1,JunSun1+29,JunSun1+36)</f>
        <v>44746</v>
      </c>
      <c r="C188" s="66"/>
      <c r="D188" s="67">
        <f>IF(DAY(JunSun1)=1,JunSun1+30,JunSun1+37)</f>
        <v>44747</v>
      </c>
      <c r="E188" s="66"/>
      <c r="F188" s="67">
        <f>IF(DAY(JunSun1)=1,JunSun1+31,JunSun1+38)</f>
        <v>44748</v>
      </c>
      <c r="G188" s="66"/>
      <c r="H188" s="67">
        <f>IF(DAY(JunSun1)=1,JunSun1+32,JunSun1+39)</f>
        <v>44749</v>
      </c>
      <c r="I188" s="66"/>
      <c r="J188" s="67">
        <f>IF(DAY(JunSun1)=1,JunSun1+33,JunSun1+40)</f>
        <v>44750</v>
      </c>
      <c r="K188" s="66"/>
      <c r="L188" s="67">
        <f>IF(DAY(JunSun1)=1,JunSun1+34,JunSun1+41)</f>
        <v>44751</v>
      </c>
      <c r="M188" s="66"/>
      <c r="N188" s="67">
        <f>IF(DAY(JunSun1)=1,JunSun1+35,JunSun1+42)</f>
        <v>44752</v>
      </c>
      <c r="O188" s="66"/>
    </row>
    <row r="189" spans="1:16" ht="55.5" customHeight="1" x14ac:dyDescent="0.2">
      <c r="A189" s="5"/>
      <c r="B189" s="164"/>
      <c r="C189" s="111"/>
      <c r="D189" s="111"/>
      <c r="E189" s="111"/>
      <c r="F189" s="112"/>
      <c r="G189" s="112"/>
      <c r="H189" s="112"/>
      <c r="I189" s="112"/>
      <c r="J189" s="112"/>
      <c r="K189" s="112"/>
      <c r="L189" s="110"/>
      <c r="M189" s="110"/>
      <c r="N189" s="110"/>
      <c r="O189" s="110"/>
    </row>
    <row r="190" spans="1:16" ht="7.5" customHeight="1" x14ac:dyDescent="0.2">
      <c r="B190" s="143"/>
      <c r="C190" s="11"/>
      <c r="D190" s="11"/>
      <c r="E190" s="11"/>
      <c r="F190" s="11"/>
      <c r="G190" s="11"/>
      <c r="H190" s="11"/>
      <c r="I190" s="11"/>
      <c r="J190" s="11"/>
      <c r="K190" s="11"/>
      <c r="L190" s="11"/>
      <c r="M190" s="11"/>
      <c r="N190" s="11"/>
      <c r="O190" s="11"/>
    </row>
    <row r="191" spans="1:16" ht="14.25" customHeight="1" x14ac:dyDescent="0.2"/>
    <row r="192" spans="1:16" ht="54" customHeight="1" x14ac:dyDescent="0.2">
      <c r="A192" s="115" t="str">
        <f>TEXT(DATE(CalendarYear,7,1),"[$-D07041E]mmmm")</f>
        <v>กรกฎาคม</v>
      </c>
      <c r="B192" s="115"/>
      <c r="C192" s="115"/>
      <c r="D192" s="115"/>
      <c r="E192" s="115"/>
      <c r="F192" s="115"/>
      <c r="G192" s="115"/>
      <c r="H192" s="1"/>
      <c r="I192" s="2"/>
      <c r="J192" s="2"/>
      <c r="L192" s="114">
        <f>CalendarYear+543</f>
        <v>2565</v>
      </c>
      <c r="M192" s="114"/>
      <c r="N192" s="114"/>
      <c r="O192" s="114"/>
      <c r="P192" s="114"/>
    </row>
    <row r="193" spans="1:22" ht="19" customHeight="1" x14ac:dyDescent="0.3">
      <c r="A193" s="4"/>
      <c r="B193" s="141"/>
      <c r="C193" s="2"/>
      <c r="D193" s="2"/>
      <c r="E193" s="2"/>
      <c r="F193" s="2"/>
      <c r="G193" s="2"/>
      <c r="H193" s="2"/>
      <c r="I193" s="2"/>
      <c r="J193" s="2"/>
    </row>
    <row r="194" spans="1:22" ht="19" customHeight="1" x14ac:dyDescent="0.3">
      <c r="A194" s="4"/>
      <c r="B194" s="141"/>
      <c r="C194" s="2"/>
      <c r="D194" s="2"/>
      <c r="E194" s="2"/>
      <c r="F194" s="2"/>
      <c r="G194" s="2"/>
      <c r="H194" s="2"/>
      <c r="I194" s="2"/>
      <c r="J194" s="2"/>
    </row>
    <row r="195" spans="1:22" ht="19" customHeight="1" x14ac:dyDescent="0.3">
      <c r="A195" s="4"/>
      <c r="B195" s="141"/>
      <c r="C195" s="2"/>
      <c r="D195" s="2"/>
      <c r="E195" s="2"/>
      <c r="F195" s="2"/>
      <c r="G195" s="2"/>
      <c r="H195" s="2"/>
      <c r="I195" s="2"/>
      <c r="J195" s="2"/>
    </row>
    <row r="196" spans="1:22" ht="19" customHeight="1" x14ac:dyDescent="0.3">
      <c r="A196" s="4"/>
      <c r="B196" s="141"/>
      <c r="C196" s="2"/>
      <c r="D196" s="2"/>
      <c r="E196" s="2"/>
      <c r="F196" s="2"/>
      <c r="G196" s="2"/>
      <c r="H196" s="2"/>
      <c r="I196" s="2"/>
      <c r="J196" s="2"/>
    </row>
    <row r="197" spans="1:22" ht="19" customHeight="1" x14ac:dyDescent="0.3">
      <c r="A197" s="4"/>
      <c r="B197" s="141"/>
      <c r="C197" s="2"/>
      <c r="D197" s="2"/>
      <c r="E197" s="2"/>
      <c r="F197" s="2"/>
      <c r="G197" s="2"/>
      <c r="H197" s="2"/>
      <c r="I197" s="2"/>
      <c r="J197" s="2"/>
    </row>
    <row r="198" spans="1:22" ht="19" customHeight="1" x14ac:dyDescent="0.3">
      <c r="A198" s="4"/>
      <c r="B198" s="141"/>
      <c r="C198" s="2"/>
      <c r="D198" s="2"/>
      <c r="E198" s="2"/>
      <c r="F198" s="2"/>
      <c r="G198" s="2"/>
      <c r="H198" s="2"/>
      <c r="I198" s="2"/>
      <c r="J198" s="2"/>
    </row>
    <row r="199" spans="1:22" ht="19" customHeight="1" x14ac:dyDescent="0.3">
      <c r="A199" s="4"/>
      <c r="B199" s="141"/>
      <c r="C199" s="2"/>
      <c r="D199" s="2"/>
      <c r="E199" s="2"/>
      <c r="F199" s="2"/>
      <c r="G199" s="2"/>
      <c r="H199" s="2"/>
      <c r="I199" s="2"/>
      <c r="J199" s="2"/>
    </row>
    <row r="200" spans="1:22" ht="19" customHeight="1" x14ac:dyDescent="0.3">
      <c r="A200" s="4"/>
      <c r="B200" s="141"/>
      <c r="C200" s="2"/>
      <c r="D200" s="2"/>
      <c r="E200" s="2"/>
      <c r="F200" s="2"/>
      <c r="G200" s="2"/>
      <c r="H200" s="2"/>
      <c r="I200" s="2"/>
      <c r="J200" s="2"/>
    </row>
    <row r="201" spans="1:22" ht="19" customHeight="1" x14ac:dyDescent="0.3">
      <c r="A201" s="4"/>
      <c r="B201" s="141"/>
      <c r="C201" s="2"/>
      <c r="D201" s="2"/>
      <c r="E201" s="2"/>
      <c r="F201" s="2"/>
      <c r="G201" s="2"/>
      <c r="H201" s="2"/>
      <c r="I201" s="2"/>
      <c r="J201" s="2"/>
    </row>
    <row r="202" spans="1:22" ht="19" customHeight="1" x14ac:dyDescent="0.3">
      <c r="A202" s="4"/>
      <c r="B202" s="141"/>
      <c r="C202" s="2"/>
      <c r="D202" s="2"/>
      <c r="E202" s="2"/>
      <c r="F202" s="2"/>
      <c r="G202" s="2"/>
      <c r="H202" s="2"/>
      <c r="I202" s="2"/>
      <c r="J202" s="2"/>
    </row>
    <row r="203" spans="1:22" ht="19" customHeight="1" x14ac:dyDescent="0.2">
      <c r="A203" s="5"/>
      <c r="B203" s="142"/>
      <c r="C203" s="6"/>
      <c r="D203" s="6"/>
      <c r="E203" s="6"/>
      <c r="F203" s="6"/>
      <c r="G203" s="6"/>
      <c r="H203" s="6"/>
      <c r="I203" s="6"/>
      <c r="J203" s="6"/>
      <c r="K203" s="6"/>
      <c r="L203" s="6"/>
      <c r="M203" s="6"/>
      <c r="N203" s="6"/>
      <c r="O203" s="6"/>
    </row>
    <row r="204" spans="1:22" s="5" customFormat="1" ht="27" customHeight="1" x14ac:dyDescent="0.2">
      <c r="B204" s="160" t="s">
        <v>6</v>
      </c>
      <c r="C204" s="96"/>
      <c r="D204" s="96" t="s">
        <v>5</v>
      </c>
      <c r="E204" s="96"/>
      <c r="F204" s="96" t="s">
        <v>4</v>
      </c>
      <c r="G204" s="96"/>
      <c r="H204" s="96" t="s">
        <v>3</v>
      </c>
      <c r="I204" s="96"/>
      <c r="J204" s="96" t="s">
        <v>2</v>
      </c>
      <c r="K204" s="96"/>
      <c r="L204" s="96" t="s">
        <v>1</v>
      </c>
      <c r="M204" s="96"/>
      <c r="N204" s="96" t="s">
        <v>0</v>
      </c>
      <c r="O204" s="96"/>
      <c r="P204" s="3"/>
      <c r="Q204" s="7"/>
      <c r="U204" s="3"/>
      <c r="V204" s="3"/>
    </row>
    <row r="205" spans="1:22" s="45" customFormat="1" ht="16.5" customHeight="1" x14ac:dyDescent="0.2">
      <c r="B205" s="165">
        <f>IF(DAY(JulSun1)=1,JulSun1-6,JulSun1+1)</f>
        <v>44739</v>
      </c>
      <c r="C205" s="68"/>
      <c r="D205" s="69">
        <f>IF(DAY(JulSun1)=1,JulSun1-5,JulSun1+2)</f>
        <v>44740</v>
      </c>
      <c r="E205" s="68"/>
      <c r="F205" s="69">
        <f>IF(DAY(JulSun1)=1,JulSun1-4,JulSun1+3)</f>
        <v>44741</v>
      </c>
      <c r="G205" s="68"/>
      <c r="H205" s="69">
        <f>IF(DAY(JulSun1)=1,JulSun1-3,JulSun1+4)</f>
        <v>44742</v>
      </c>
      <c r="I205" s="68"/>
      <c r="J205" s="69">
        <f>IF(DAY(JulSun1)=1,JulSun1-2,JulSun1+5)</f>
        <v>44743</v>
      </c>
      <c r="K205" s="68"/>
      <c r="L205" s="69">
        <f>IF(DAY(JulSun1)=1,JulSun1-1,JulSun1+6)</f>
        <v>44744</v>
      </c>
      <c r="M205" s="68"/>
      <c r="N205" s="69">
        <f>IF(DAY(JulSun1)=1,JulSun1,JulSun1+7)</f>
        <v>44745</v>
      </c>
      <c r="O205" s="68"/>
      <c r="P205" s="6"/>
      <c r="Q205" s="6"/>
      <c r="U205" s="46"/>
      <c r="V205" s="6"/>
    </row>
    <row r="206" spans="1:22" s="11" customFormat="1" ht="55.5" customHeight="1" x14ac:dyDescent="0.2">
      <c r="A206" s="5"/>
      <c r="B206" s="162"/>
      <c r="C206" s="71"/>
      <c r="D206" s="71"/>
      <c r="E206" s="71"/>
      <c r="F206" s="71"/>
      <c r="G206" s="71"/>
      <c r="H206" s="71"/>
      <c r="I206" s="71"/>
      <c r="J206" s="71" t="s">
        <v>72</v>
      </c>
      <c r="K206" s="71"/>
      <c r="L206" s="70"/>
      <c r="M206" s="70"/>
      <c r="N206" s="70"/>
      <c r="O206" s="70"/>
    </row>
    <row r="207" spans="1:22" s="11" customFormat="1" ht="8.25" customHeight="1" x14ac:dyDescent="0.2">
      <c r="A207" s="5"/>
      <c r="B207" s="151"/>
      <c r="C207" s="59"/>
      <c r="D207" s="59"/>
      <c r="E207" s="59"/>
      <c r="F207" s="59"/>
      <c r="G207" s="59"/>
      <c r="H207" s="59"/>
      <c r="I207" s="59"/>
      <c r="J207" s="59"/>
      <c r="K207" s="59"/>
      <c r="L207" s="56"/>
      <c r="M207" s="56"/>
      <c r="N207" s="56"/>
      <c r="O207" s="56"/>
    </row>
    <row r="208" spans="1:22" s="9" customFormat="1" ht="16.5" customHeight="1" x14ac:dyDescent="0.2">
      <c r="A208" s="8"/>
      <c r="B208" s="161">
        <f>IF(DAY(JulSun1)=1,JulSun1+1,JulSun1+8)</f>
        <v>44746</v>
      </c>
      <c r="C208" s="66"/>
      <c r="D208" s="67">
        <f>IF(DAY(JulSun1)=1,JulSun1+2,JulSun1+9)</f>
        <v>44747</v>
      </c>
      <c r="E208" s="66"/>
      <c r="F208" s="67">
        <f>IF(DAY(JulSun1)=1,JulSun1+3,JulSun1+10)</f>
        <v>44748</v>
      </c>
      <c r="G208" s="66"/>
      <c r="H208" s="74">
        <f>IF(DAY(JulSun1)=1,JulSun1+4,JulSun1+11)</f>
        <v>44749</v>
      </c>
      <c r="I208" s="75"/>
      <c r="J208" s="74">
        <f>IF(DAY(JulSun1)=1,JulSun1+5,JulSun1+12)</f>
        <v>44750</v>
      </c>
      <c r="K208" s="75"/>
      <c r="L208" s="74">
        <f>IF(DAY(JulSun1)=1,JulSun1+6,JulSun1+13)</f>
        <v>44751</v>
      </c>
      <c r="M208" s="75"/>
      <c r="N208" s="74">
        <f>IF(DAY(JulSun1)=1,JulSun1+7,JulSun1+14)</f>
        <v>44752</v>
      </c>
      <c r="O208" s="75"/>
    </row>
    <row r="209" spans="1:16" ht="55.5" customHeight="1" x14ac:dyDescent="0.2">
      <c r="A209" s="5"/>
      <c r="B209" s="166" t="s">
        <v>73</v>
      </c>
      <c r="C209" s="59"/>
      <c r="D209" s="71"/>
      <c r="E209" s="71"/>
      <c r="F209" s="71"/>
      <c r="G209" s="71"/>
      <c r="H209" s="71" t="s">
        <v>74</v>
      </c>
      <c r="I209" s="71"/>
      <c r="J209" s="71"/>
      <c r="K209" s="71"/>
      <c r="L209" s="70"/>
      <c r="M209" s="70"/>
      <c r="N209" s="70"/>
      <c r="O209" s="70"/>
    </row>
    <row r="210" spans="1:16" ht="8.25" customHeight="1" x14ac:dyDescent="0.2">
      <c r="A210" s="5"/>
      <c r="B210" s="163"/>
      <c r="C210" s="118"/>
      <c r="D210" s="59"/>
      <c r="E210" s="59"/>
      <c r="F210" s="59"/>
      <c r="G210" s="59"/>
      <c r="H210" s="59"/>
      <c r="I210" s="59"/>
      <c r="J210" s="59"/>
      <c r="K210" s="59"/>
      <c r="L210" s="56"/>
      <c r="M210" s="56"/>
      <c r="N210" s="56"/>
      <c r="O210" s="56"/>
    </row>
    <row r="211" spans="1:16" s="9" customFormat="1" ht="16.5" customHeight="1" x14ac:dyDescent="0.2">
      <c r="A211" s="8"/>
      <c r="B211" s="161">
        <f>IF(DAY(JulSun1)=1,JulSun1+8,JulSun1+15)</f>
        <v>44753</v>
      </c>
      <c r="C211" s="66"/>
      <c r="D211" s="67">
        <f>IF(DAY(JulSun1)=1,JulSun1+9,JulSun1+16)</f>
        <v>44754</v>
      </c>
      <c r="E211" s="66"/>
      <c r="F211" s="67">
        <f>IF(DAY(JulSun1)=1,JulSun1+10,JulSun1+17)</f>
        <v>44755</v>
      </c>
      <c r="G211" s="66"/>
      <c r="H211" s="67">
        <f>IF(DAY(JulSun1)=1,JulSun1+11,JulSun1+18)</f>
        <v>44756</v>
      </c>
      <c r="I211" s="66"/>
      <c r="J211" s="67">
        <f>IF(DAY(JulSun1)=1,JulSun1+12,JulSun1+19)</f>
        <v>44757</v>
      </c>
      <c r="K211" s="66"/>
      <c r="L211" s="67">
        <f>IF(DAY(JulSun1)=1,JulSun1+13,JulSun1+20)</f>
        <v>44758</v>
      </c>
      <c r="M211" s="66"/>
      <c r="N211" s="67">
        <f>IF(DAY(JulSun1)=1,JulSun1+14,JulSun1+21)</f>
        <v>44759</v>
      </c>
      <c r="O211" s="66"/>
    </row>
    <row r="212" spans="1:16" ht="55.5" customHeight="1" x14ac:dyDescent="0.2">
      <c r="A212" s="5"/>
      <c r="B212" s="162"/>
      <c r="C212" s="71"/>
      <c r="D212" s="71"/>
      <c r="E212" s="71"/>
      <c r="F212" s="117" t="s">
        <v>75</v>
      </c>
      <c r="G212" s="113"/>
      <c r="H212" s="113" t="s">
        <v>76</v>
      </c>
      <c r="I212" s="113"/>
      <c r="J212" s="71"/>
      <c r="K212" s="71"/>
      <c r="L212" s="70"/>
      <c r="M212" s="70"/>
      <c r="N212" s="70"/>
      <c r="O212" s="70"/>
    </row>
    <row r="213" spans="1:16" ht="8.25" customHeight="1" x14ac:dyDescent="0.2">
      <c r="A213" s="5"/>
      <c r="B213" s="151"/>
      <c r="C213" s="59"/>
      <c r="D213" s="59"/>
      <c r="E213" s="59"/>
      <c r="F213" s="59"/>
      <c r="G213" s="59"/>
      <c r="H213" s="59"/>
      <c r="I213" s="59"/>
      <c r="J213" s="59"/>
      <c r="K213" s="59"/>
      <c r="L213" s="56"/>
      <c r="M213" s="56"/>
      <c r="N213" s="56"/>
      <c r="O213" s="56"/>
    </row>
    <row r="214" spans="1:16" s="9" customFormat="1" ht="16.5" customHeight="1" x14ac:dyDescent="0.2">
      <c r="A214" s="8"/>
      <c r="B214" s="161">
        <f>IF(DAY(JulSun1)=1,JulSun1+15,JulSun1+22)</f>
        <v>44760</v>
      </c>
      <c r="C214" s="66"/>
      <c r="D214" s="67">
        <f>IF(DAY(JulSun1)=1,JulSun1+16,JulSun1+23)</f>
        <v>44761</v>
      </c>
      <c r="E214" s="66"/>
      <c r="F214" s="67">
        <f>IF(DAY(JulSun1)=1,JulSun1+17,JulSun1+24)</f>
        <v>44762</v>
      </c>
      <c r="G214" s="66"/>
      <c r="H214" s="67">
        <f>IF(DAY(JulSun1)=1,JulSun1+18,JulSun1+25)</f>
        <v>44763</v>
      </c>
      <c r="I214" s="66"/>
      <c r="J214" s="67">
        <f>IF(DAY(JulSun1)=1,JulSun1+19,JulSun1+26)</f>
        <v>44764</v>
      </c>
      <c r="K214" s="66"/>
      <c r="L214" s="67">
        <f>IF(DAY(JulSun1)=1,JulSun1+20,JulSun1+27)</f>
        <v>44765</v>
      </c>
      <c r="M214" s="66"/>
      <c r="N214" s="47">
        <f>IF(DAY(JulSun1)=1,JulSun1+21,JulSun1+28)</f>
        <v>44766</v>
      </c>
      <c r="O214" s="48"/>
    </row>
    <row r="215" spans="1:16" ht="55.5" customHeight="1" x14ac:dyDescent="0.2">
      <c r="A215" s="5"/>
      <c r="B215" s="162"/>
      <c r="C215" s="71"/>
      <c r="D215" s="71"/>
      <c r="E215" s="71"/>
      <c r="F215" s="71"/>
      <c r="G215" s="71"/>
      <c r="H215" s="71" t="s">
        <v>77</v>
      </c>
      <c r="I215" s="71"/>
      <c r="J215" s="71"/>
      <c r="K215" s="71"/>
      <c r="L215" s="70"/>
      <c r="M215" s="70"/>
      <c r="N215" s="70"/>
      <c r="O215" s="70"/>
    </row>
    <row r="216" spans="1:16" ht="8.25" customHeight="1" x14ac:dyDescent="0.2">
      <c r="A216" s="5"/>
      <c r="B216" s="151"/>
      <c r="C216" s="59"/>
      <c r="D216" s="59"/>
      <c r="E216" s="59"/>
      <c r="F216" s="59"/>
      <c r="G216" s="59"/>
      <c r="H216" s="59"/>
      <c r="I216" s="59"/>
      <c r="J216" s="59"/>
      <c r="K216" s="59"/>
      <c r="L216" s="56"/>
      <c r="M216" s="56"/>
      <c r="N216" s="56"/>
      <c r="O216" s="56"/>
    </row>
    <row r="217" spans="1:16" s="9" customFormat="1" ht="16.5" customHeight="1" x14ac:dyDescent="0.2">
      <c r="A217" s="8"/>
      <c r="B217" s="161">
        <f>IF(DAY(JulSun1)=1,JulSun1+22,JulSun1+29)</f>
        <v>44767</v>
      </c>
      <c r="C217" s="66"/>
      <c r="D217" s="67">
        <f>IF(DAY(JulSun1)=1,JulSun1+23,JulSun1+30)</f>
        <v>44768</v>
      </c>
      <c r="E217" s="66"/>
      <c r="F217" s="67">
        <f>IF(DAY(JulSun1)=1,JulSun1+24,JulSun1+31)</f>
        <v>44769</v>
      </c>
      <c r="G217" s="66"/>
      <c r="H217" s="67">
        <f>IF(DAY(JulSun1)=1,JulSun1+25,JulSun1+32)</f>
        <v>44770</v>
      </c>
      <c r="I217" s="66"/>
      <c r="J217" s="67">
        <f>IF(DAY(JulSun1)=1,JulSun1+26,JulSun1+33)</f>
        <v>44771</v>
      </c>
      <c r="K217" s="66"/>
      <c r="L217" s="67">
        <f>IF(DAY(JulSun1)=1,JulSun1+27,JulSun1+34)</f>
        <v>44772</v>
      </c>
      <c r="M217" s="66"/>
      <c r="N217" s="67">
        <f>IF(DAY(JulSun1)=1,JulSun1+28,JulSun1+35)</f>
        <v>44773</v>
      </c>
      <c r="O217" s="66"/>
    </row>
    <row r="218" spans="1:16" ht="55.5" customHeight="1" x14ac:dyDescent="0.2">
      <c r="A218" s="5"/>
      <c r="B218" s="162"/>
      <c r="C218" s="71"/>
      <c r="D218" s="71"/>
      <c r="E218" s="71"/>
      <c r="F218" s="71"/>
      <c r="G218" s="71"/>
      <c r="H218" s="116" t="s">
        <v>78</v>
      </c>
      <c r="I218" s="113"/>
      <c r="J218" s="71" t="s">
        <v>79</v>
      </c>
      <c r="K218" s="71"/>
      <c r="L218" s="70"/>
      <c r="M218" s="70"/>
      <c r="N218" s="70"/>
      <c r="O218" s="70"/>
    </row>
    <row r="219" spans="1:16" ht="8.25" customHeight="1" x14ac:dyDescent="0.2">
      <c r="A219" s="5"/>
      <c r="B219" s="151"/>
      <c r="C219" s="59"/>
      <c r="D219" s="59"/>
      <c r="E219" s="59"/>
      <c r="F219" s="59"/>
      <c r="G219" s="59"/>
      <c r="H219" s="59"/>
      <c r="I219" s="59"/>
      <c r="J219" s="59"/>
      <c r="K219" s="59"/>
      <c r="L219" s="56"/>
      <c r="M219" s="56"/>
      <c r="N219" s="56"/>
      <c r="O219" s="56"/>
    </row>
    <row r="220" spans="1:16" s="13" customFormat="1" ht="16.5" customHeight="1" x14ac:dyDescent="0.2">
      <c r="A220" s="12"/>
      <c r="B220" s="167">
        <f>IF(DAY(JulSun1)=1,JulSun1+29,JulSun1+36)</f>
        <v>44774</v>
      </c>
      <c r="C220" s="72"/>
      <c r="D220" s="73">
        <f>IF(DAY(JulSun1)=1,JulSun1+30,JulSun1+37)</f>
        <v>44775</v>
      </c>
      <c r="E220" s="72"/>
      <c r="F220" s="73">
        <f>IF(DAY(JulSun1)=1,JulSun1+31,JulSun1+38)</f>
        <v>44776</v>
      </c>
      <c r="G220" s="72"/>
      <c r="H220" s="73">
        <f>IF(DAY(JulSun1)=1,JulSun1+32,JulSun1+39)</f>
        <v>44777</v>
      </c>
      <c r="I220" s="72"/>
      <c r="J220" s="73">
        <f>IF(DAY(JulSun1)=1,JulSun1+33,JulSun1+40)</f>
        <v>44778</v>
      </c>
      <c r="K220" s="72"/>
      <c r="L220" s="73">
        <f>IF(DAY(JulSun1)=1,JulSun1+34,JulSun1+41)</f>
        <v>44779</v>
      </c>
      <c r="M220" s="72"/>
      <c r="N220" s="73">
        <f>IF(DAY(JulSun1)=1,JulSun1+35,JulSun1+42)</f>
        <v>44780</v>
      </c>
      <c r="O220" s="72"/>
    </row>
    <row r="221" spans="1:16" ht="55.5" customHeight="1" x14ac:dyDescent="0.2">
      <c r="A221" s="5"/>
      <c r="B221" s="164"/>
      <c r="C221" s="111"/>
      <c r="D221" s="111"/>
      <c r="E221" s="111"/>
      <c r="F221" s="112"/>
      <c r="G221" s="112"/>
      <c r="H221" s="112"/>
      <c r="I221" s="112"/>
      <c r="J221" s="112"/>
      <c r="K221" s="112"/>
      <c r="L221" s="110"/>
      <c r="M221" s="110"/>
      <c r="N221" s="110"/>
      <c r="O221" s="110"/>
    </row>
    <row r="222" spans="1:16" ht="7.5" customHeight="1" x14ac:dyDescent="0.2"/>
    <row r="223" spans="1:16" ht="14.25" customHeight="1" x14ac:dyDescent="0.2"/>
    <row r="224" spans="1:16" ht="54" customHeight="1" x14ac:dyDescent="0.2">
      <c r="A224" s="115" t="str">
        <f>TEXT(DATE(CalendarYear,8,1),"[$-D07041E]mmmm")</f>
        <v>สิงหาคม</v>
      </c>
      <c r="B224" s="115"/>
      <c r="C224" s="115"/>
      <c r="D224" s="115"/>
      <c r="E224" s="115"/>
      <c r="F224" s="115"/>
      <c r="G224" s="115"/>
      <c r="H224" s="15"/>
      <c r="I224" s="16"/>
      <c r="J224" s="16"/>
      <c r="K224" s="17"/>
      <c r="L224" s="114">
        <f>CalendarYear+543</f>
        <v>2565</v>
      </c>
      <c r="M224" s="114"/>
      <c r="N224" s="114"/>
      <c r="O224" s="114"/>
      <c r="P224" s="114"/>
    </row>
    <row r="225" spans="1:22" ht="19" customHeight="1" x14ac:dyDescent="0.3">
      <c r="A225" s="4"/>
      <c r="B225" s="141"/>
      <c r="C225" s="2"/>
      <c r="D225" s="2"/>
      <c r="E225" s="2"/>
      <c r="F225" s="2"/>
      <c r="G225" s="2"/>
      <c r="H225" s="2"/>
      <c r="I225" s="2"/>
      <c r="J225" s="2"/>
    </row>
    <row r="226" spans="1:22" ht="19" customHeight="1" x14ac:dyDescent="0.3">
      <c r="A226" s="4"/>
      <c r="B226" s="141"/>
      <c r="C226" s="2"/>
      <c r="D226" s="2"/>
      <c r="E226" s="2"/>
      <c r="F226" s="2"/>
      <c r="G226" s="2"/>
      <c r="H226" s="2"/>
      <c r="I226" s="2"/>
      <c r="J226" s="2"/>
    </row>
    <row r="227" spans="1:22" ht="19" customHeight="1" x14ac:dyDescent="0.3">
      <c r="A227" s="4"/>
      <c r="B227" s="141"/>
      <c r="C227" s="2"/>
      <c r="D227" s="2"/>
      <c r="E227" s="2"/>
      <c r="F227" s="2"/>
      <c r="G227" s="2"/>
      <c r="H227" s="2"/>
      <c r="I227" s="2"/>
      <c r="J227" s="2"/>
    </row>
    <row r="228" spans="1:22" ht="19" customHeight="1" x14ac:dyDescent="0.3">
      <c r="A228" s="4"/>
      <c r="B228" s="141"/>
      <c r="C228" s="2"/>
      <c r="D228" s="2"/>
      <c r="E228" s="2"/>
      <c r="F228" s="2"/>
      <c r="G228" s="2"/>
      <c r="H228" s="2"/>
      <c r="I228" s="2"/>
      <c r="J228" s="2"/>
    </row>
    <row r="229" spans="1:22" ht="19" customHeight="1" x14ac:dyDescent="0.3">
      <c r="A229" s="4"/>
      <c r="B229" s="141"/>
      <c r="C229" s="2"/>
      <c r="D229" s="2"/>
      <c r="E229" s="2"/>
      <c r="F229" s="2"/>
      <c r="G229" s="2"/>
      <c r="H229" s="2"/>
      <c r="I229" s="2"/>
      <c r="J229" s="2"/>
    </row>
    <row r="230" spans="1:22" ht="19" customHeight="1" x14ac:dyDescent="0.3">
      <c r="A230" s="4"/>
      <c r="B230" s="141"/>
      <c r="C230" s="2"/>
      <c r="D230" s="2"/>
      <c r="E230" s="2"/>
      <c r="F230" s="2"/>
      <c r="G230" s="2"/>
      <c r="H230" s="2"/>
      <c r="I230" s="2"/>
      <c r="J230" s="2"/>
    </row>
    <row r="231" spans="1:22" ht="19" customHeight="1" x14ac:dyDescent="0.3">
      <c r="A231" s="4"/>
      <c r="B231" s="141"/>
      <c r="C231" s="2"/>
      <c r="D231" s="2"/>
      <c r="E231" s="2"/>
      <c r="F231" s="2"/>
      <c r="G231" s="2"/>
      <c r="H231" s="2"/>
      <c r="I231" s="2"/>
      <c r="J231" s="2"/>
    </row>
    <row r="232" spans="1:22" ht="19" customHeight="1" x14ac:dyDescent="0.3">
      <c r="A232" s="4"/>
      <c r="B232" s="141"/>
      <c r="C232" s="2"/>
      <c r="D232" s="2"/>
      <c r="E232" s="2"/>
      <c r="F232" s="2"/>
      <c r="G232" s="2"/>
      <c r="H232" s="2"/>
      <c r="I232" s="2"/>
      <c r="J232" s="2"/>
    </row>
    <row r="233" spans="1:22" ht="19" customHeight="1" x14ac:dyDescent="0.3">
      <c r="A233" s="4"/>
      <c r="B233" s="141"/>
      <c r="C233" s="2"/>
      <c r="D233" s="2"/>
      <c r="E233" s="2"/>
      <c r="F233" s="2"/>
      <c r="G233" s="2"/>
      <c r="H233" s="2"/>
      <c r="I233" s="2"/>
      <c r="J233" s="2"/>
    </row>
    <row r="234" spans="1:22" ht="19" customHeight="1" x14ac:dyDescent="0.3">
      <c r="A234" s="4"/>
      <c r="B234" s="141"/>
      <c r="C234" s="2"/>
      <c r="D234" s="2"/>
      <c r="E234" s="2"/>
      <c r="F234" s="2"/>
      <c r="G234" s="2"/>
      <c r="H234" s="2"/>
      <c r="I234" s="2"/>
      <c r="J234" s="2"/>
    </row>
    <row r="235" spans="1:22" ht="19" customHeight="1" x14ac:dyDescent="0.2">
      <c r="A235" s="5"/>
      <c r="B235" s="142"/>
      <c r="C235" s="6"/>
      <c r="D235" s="6"/>
      <c r="E235" s="6"/>
      <c r="F235" s="6"/>
      <c r="G235" s="6"/>
      <c r="H235" s="6"/>
      <c r="I235" s="6"/>
      <c r="J235" s="6"/>
      <c r="K235" s="6"/>
      <c r="L235" s="6"/>
      <c r="M235" s="6"/>
      <c r="N235" s="6"/>
      <c r="O235" s="6"/>
    </row>
    <row r="236" spans="1:22" s="5" customFormat="1" ht="27" customHeight="1" x14ac:dyDescent="0.2">
      <c r="B236" s="160" t="s">
        <v>6</v>
      </c>
      <c r="C236" s="96"/>
      <c r="D236" s="96" t="s">
        <v>5</v>
      </c>
      <c r="E236" s="96"/>
      <c r="F236" s="96" t="s">
        <v>4</v>
      </c>
      <c r="G236" s="96"/>
      <c r="H236" s="96" t="s">
        <v>3</v>
      </c>
      <c r="I236" s="96"/>
      <c r="J236" s="96" t="s">
        <v>2</v>
      </c>
      <c r="K236" s="96"/>
      <c r="L236" s="96" t="s">
        <v>1</v>
      </c>
      <c r="M236" s="96"/>
      <c r="N236" s="96" t="s">
        <v>0</v>
      </c>
      <c r="O236" s="96"/>
      <c r="P236" s="3"/>
      <c r="Q236" s="7"/>
      <c r="U236" s="3"/>
      <c r="V236" s="3"/>
    </row>
    <row r="237" spans="1:22" s="8" customFormat="1" ht="16.5" customHeight="1" x14ac:dyDescent="0.2">
      <c r="B237" s="161">
        <f>IF(DAY(AugSun1)=1,AugSun1-6,AugSun1+1)</f>
        <v>44774</v>
      </c>
      <c r="C237" s="66"/>
      <c r="D237" s="67">
        <f>IF(DAY(AugSun1)=1,AugSun1-5,AugSun1+2)</f>
        <v>44775</v>
      </c>
      <c r="E237" s="66"/>
      <c r="F237" s="67">
        <f>IF(DAY(AugSun1)=1,AugSun1-4,AugSun1+3)</f>
        <v>44776</v>
      </c>
      <c r="G237" s="66"/>
      <c r="H237" s="67">
        <f>IF(DAY(AugSun1)=1,AugSun1-3,AugSun1+4)</f>
        <v>44777</v>
      </c>
      <c r="I237" s="66"/>
      <c r="J237" s="67">
        <f>IF(DAY(AugSun1)=1,AugSun1-2,AugSun1+5)</f>
        <v>44778</v>
      </c>
      <c r="K237" s="66"/>
      <c r="L237" s="67">
        <f>IF(DAY(AugSun1)=1,AugSun1-1,AugSun1+6)</f>
        <v>44779</v>
      </c>
      <c r="M237" s="66"/>
      <c r="N237" s="67">
        <f>IF(DAY(AugSun1)=1,AugSun1,AugSun1+7)</f>
        <v>44780</v>
      </c>
      <c r="O237" s="66"/>
      <c r="P237" s="9"/>
      <c r="Q237" s="9"/>
      <c r="U237" s="10"/>
      <c r="V237" s="9"/>
    </row>
    <row r="238" spans="1:22" s="11" customFormat="1" ht="55.5" customHeight="1" x14ac:dyDescent="0.2">
      <c r="A238" s="5"/>
      <c r="B238" s="162" t="s">
        <v>80</v>
      </c>
      <c r="C238" s="71"/>
      <c r="D238" s="71"/>
      <c r="E238" s="71"/>
      <c r="F238" s="71"/>
      <c r="G238" s="71"/>
      <c r="H238" s="71" t="s">
        <v>81</v>
      </c>
      <c r="I238" s="71"/>
      <c r="J238" s="71"/>
      <c r="K238" s="71"/>
      <c r="L238" s="70"/>
      <c r="M238" s="70"/>
      <c r="N238" s="70" t="s">
        <v>82</v>
      </c>
      <c r="O238" s="70"/>
    </row>
    <row r="239" spans="1:22" s="11" customFormat="1" ht="8.25" customHeight="1" x14ac:dyDescent="0.2">
      <c r="A239" s="5"/>
      <c r="B239" s="151"/>
      <c r="C239" s="59"/>
      <c r="D239" s="59"/>
      <c r="E239" s="59"/>
      <c r="F239" s="59"/>
      <c r="G239" s="59"/>
      <c r="H239" s="59"/>
      <c r="I239" s="59"/>
      <c r="J239" s="59"/>
      <c r="K239" s="59"/>
      <c r="L239" s="56"/>
      <c r="M239" s="56"/>
      <c r="N239" s="56"/>
      <c r="O239" s="56"/>
    </row>
    <row r="240" spans="1:22" s="9" customFormat="1" ht="16.5" customHeight="1" x14ac:dyDescent="0.2">
      <c r="A240" s="8"/>
      <c r="B240" s="161">
        <f>IF(DAY(AugSun1)=1,AugSun1+1,AugSun1+8)</f>
        <v>44781</v>
      </c>
      <c r="C240" s="66"/>
      <c r="D240" s="67">
        <f>IF(DAY(AugSun1)=1,AugSun1+2,AugSun1+9)</f>
        <v>44782</v>
      </c>
      <c r="E240" s="66"/>
      <c r="F240" s="67">
        <f>IF(DAY(AugSun1)=1,AugSun1+3,AugSun1+10)</f>
        <v>44783</v>
      </c>
      <c r="G240" s="66"/>
      <c r="H240" s="67">
        <f>IF(DAY(AugSun1)=1,AugSun1+4,AugSun1+11)</f>
        <v>44784</v>
      </c>
      <c r="I240" s="66"/>
      <c r="J240" s="67">
        <f>IF(DAY(AugSun1)=1,AugSun1+5,AugSun1+12)</f>
        <v>44785</v>
      </c>
      <c r="K240" s="66"/>
      <c r="L240" s="67">
        <f>IF(DAY(AugSun1)=1,AugSun1+6,AugSun1+13)</f>
        <v>44786</v>
      </c>
      <c r="M240" s="66"/>
      <c r="N240" s="67">
        <f>IF(DAY(AugSun1)=1,AugSun1+7,AugSun1+14)</f>
        <v>44787</v>
      </c>
      <c r="O240" s="66"/>
    </row>
    <row r="241" spans="1:16" ht="55.5" customHeight="1" x14ac:dyDescent="0.2">
      <c r="A241" s="5"/>
      <c r="B241" s="162"/>
      <c r="C241" s="71"/>
      <c r="D241" s="71"/>
      <c r="E241" s="71"/>
      <c r="F241" s="71"/>
      <c r="G241" s="71"/>
      <c r="H241" s="71"/>
      <c r="I241" s="71"/>
      <c r="J241" s="113" t="s">
        <v>83</v>
      </c>
      <c r="K241" s="113"/>
      <c r="L241" s="70" t="s">
        <v>84</v>
      </c>
      <c r="M241" s="70"/>
      <c r="N241" s="70"/>
      <c r="O241" s="70"/>
    </row>
    <row r="242" spans="1:16" ht="8.25" customHeight="1" x14ac:dyDescent="0.2">
      <c r="A242" s="5"/>
      <c r="B242" s="151"/>
      <c r="C242" s="59"/>
      <c r="D242" s="59"/>
      <c r="E242" s="59"/>
      <c r="F242" s="59"/>
      <c r="G242" s="59"/>
      <c r="H242" s="59"/>
      <c r="I242" s="59"/>
      <c r="J242" s="59"/>
      <c r="K242" s="59"/>
      <c r="L242" s="56"/>
      <c r="M242" s="56"/>
      <c r="N242" s="56"/>
      <c r="O242" s="56"/>
    </row>
    <row r="243" spans="1:16" s="9" customFormat="1" ht="16.5" customHeight="1" x14ac:dyDescent="0.2">
      <c r="A243" s="8"/>
      <c r="B243" s="161">
        <f>IF(DAY(AugSun1)=1,AugSun1+8,AugSun1+15)</f>
        <v>44788</v>
      </c>
      <c r="C243" s="66"/>
      <c r="D243" s="67">
        <f>IF(DAY(AugSun1)=1,AugSun1+9,AugSun1+16)</f>
        <v>44789</v>
      </c>
      <c r="E243" s="66"/>
      <c r="F243" s="67">
        <f>IF(DAY(AugSun1)=1,AugSun1+10,AugSun1+17)</f>
        <v>44790</v>
      </c>
      <c r="G243" s="66"/>
      <c r="H243" s="67">
        <f>IF(DAY(AugSun1)=1,AugSun1+11,AugSun1+18)</f>
        <v>44791</v>
      </c>
      <c r="I243" s="66"/>
      <c r="J243" s="67">
        <f>IF(DAY(AugSun1)=1,AugSun1+12,AugSun1+19)</f>
        <v>44792</v>
      </c>
      <c r="K243" s="66"/>
      <c r="L243" s="67">
        <f>IF(DAY(AugSun1)=1,AugSun1+13,AugSun1+20)</f>
        <v>44793</v>
      </c>
      <c r="M243" s="66"/>
      <c r="N243" s="67">
        <f>IF(DAY(AugSun1)=1,AugSun1+14,AugSun1+21)</f>
        <v>44794</v>
      </c>
      <c r="O243" s="66"/>
    </row>
    <row r="244" spans="1:16" ht="55.5" customHeight="1" x14ac:dyDescent="0.2">
      <c r="A244" s="5"/>
      <c r="B244" s="162"/>
      <c r="C244" s="71"/>
      <c r="D244" s="71" t="s">
        <v>85</v>
      </c>
      <c r="E244" s="71"/>
      <c r="F244" s="71" t="s">
        <v>86</v>
      </c>
      <c r="G244" s="71"/>
      <c r="H244" s="71" t="s">
        <v>87</v>
      </c>
      <c r="I244" s="71"/>
      <c r="J244" s="71"/>
      <c r="K244" s="71"/>
      <c r="L244" s="70"/>
      <c r="M244" s="70"/>
      <c r="N244" s="70"/>
      <c r="O244" s="70"/>
    </row>
    <row r="245" spans="1:16" ht="8.25" customHeight="1" x14ac:dyDescent="0.2">
      <c r="A245" s="5"/>
      <c r="B245" s="151"/>
      <c r="C245" s="59"/>
      <c r="D245" s="59"/>
      <c r="E245" s="59"/>
      <c r="F245" s="59"/>
      <c r="G245" s="59"/>
      <c r="H245" s="59"/>
      <c r="I245" s="59"/>
      <c r="J245" s="59"/>
      <c r="K245" s="59"/>
      <c r="L245" s="56"/>
      <c r="M245" s="56"/>
      <c r="N245" s="56"/>
      <c r="O245" s="56"/>
    </row>
    <row r="246" spans="1:16" s="9" customFormat="1" ht="16.5" customHeight="1" x14ac:dyDescent="0.2">
      <c r="A246" s="8"/>
      <c r="B246" s="161">
        <f>IF(DAY(AugSun1)=1,AugSun1+15,AugSun1+22)</f>
        <v>44795</v>
      </c>
      <c r="C246" s="66"/>
      <c r="D246" s="67">
        <f>IF(DAY(AugSun1)=1,AugSun1+16,AugSun1+23)</f>
        <v>44796</v>
      </c>
      <c r="E246" s="66"/>
      <c r="F246" s="67">
        <f>IF(DAY(AugSun1)=1,AugSun1+17,AugSun1+24)</f>
        <v>44797</v>
      </c>
      <c r="G246" s="66"/>
      <c r="H246" s="67">
        <f>IF(DAY(AugSun1)=1,AugSun1+18,AugSun1+25)</f>
        <v>44798</v>
      </c>
      <c r="I246" s="66"/>
      <c r="J246" s="67">
        <f>IF(DAY(AugSun1)=1,AugSun1+19,AugSun1+26)</f>
        <v>44799</v>
      </c>
      <c r="K246" s="66"/>
      <c r="L246" s="67">
        <f>IF(DAY(AugSun1)=1,AugSun1+20,AugSun1+27)</f>
        <v>44800</v>
      </c>
      <c r="M246" s="66"/>
      <c r="N246" s="67">
        <f>IF(DAY(AugSun1)=1,AugSun1+21,AugSun1+28)</f>
        <v>44801</v>
      </c>
      <c r="O246" s="66"/>
    </row>
    <row r="247" spans="1:16" ht="55.5" customHeight="1" x14ac:dyDescent="0.2">
      <c r="A247" s="5"/>
      <c r="B247" s="162"/>
      <c r="C247" s="71"/>
      <c r="D247" s="71"/>
      <c r="E247" s="71"/>
      <c r="F247" s="71"/>
      <c r="G247" s="71"/>
      <c r="H247" s="71"/>
      <c r="I247" s="71"/>
      <c r="J247" s="71"/>
      <c r="K247" s="71"/>
      <c r="L247" s="70"/>
      <c r="M247" s="70"/>
      <c r="N247" s="70" t="s">
        <v>87</v>
      </c>
      <c r="O247" s="70"/>
    </row>
    <row r="248" spans="1:16" ht="8.25" customHeight="1" x14ac:dyDescent="0.2">
      <c r="A248" s="5"/>
      <c r="B248" s="151"/>
      <c r="C248" s="59"/>
      <c r="D248" s="59"/>
      <c r="E248" s="59"/>
      <c r="F248" s="59"/>
      <c r="G248" s="59"/>
      <c r="H248" s="59"/>
      <c r="I248" s="59"/>
      <c r="J248" s="59"/>
      <c r="K248" s="59"/>
      <c r="L248" s="56"/>
      <c r="M248" s="56"/>
      <c r="N248" s="56"/>
      <c r="O248" s="56"/>
    </row>
    <row r="249" spans="1:16" s="9" customFormat="1" ht="16.5" customHeight="1" x14ac:dyDescent="0.2">
      <c r="A249" s="8"/>
      <c r="B249" s="161">
        <f>IF(DAY(AugSun1)=1,AugSun1+22,AugSun1+29)</f>
        <v>44802</v>
      </c>
      <c r="C249" s="66"/>
      <c r="D249" s="67">
        <f>IF(DAY(AugSun1)=1,AugSun1+23,AugSun1+30)</f>
        <v>44803</v>
      </c>
      <c r="E249" s="66"/>
      <c r="F249" s="67">
        <f>IF(DAY(AugSun1)=1,AugSun1+24,AugSun1+31)</f>
        <v>44804</v>
      </c>
      <c r="G249" s="66"/>
      <c r="H249" s="67">
        <f>IF(DAY(AugSun1)=1,AugSun1+25,AugSun1+32)</f>
        <v>44805</v>
      </c>
      <c r="I249" s="66"/>
      <c r="J249" s="67">
        <f>IF(DAY(AugSun1)=1,AugSun1+26,AugSun1+33)</f>
        <v>44806</v>
      </c>
      <c r="K249" s="66"/>
      <c r="L249" s="67">
        <f>IF(DAY(AugSun1)=1,AugSun1+27,AugSun1+34)</f>
        <v>44807</v>
      </c>
      <c r="M249" s="66"/>
      <c r="N249" s="67">
        <f>IF(DAY(AugSun1)=1,AugSun1+28,AugSun1+35)</f>
        <v>44808</v>
      </c>
      <c r="O249" s="66"/>
    </row>
    <row r="250" spans="1:16" ht="55.5" customHeight="1" x14ac:dyDescent="0.2">
      <c r="A250" s="5"/>
      <c r="B250" s="162"/>
      <c r="C250" s="71"/>
      <c r="D250" s="71"/>
      <c r="E250" s="71"/>
      <c r="F250" s="71"/>
      <c r="G250" s="71"/>
      <c r="H250" s="71"/>
      <c r="I250" s="71"/>
      <c r="J250" s="71"/>
      <c r="K250" s="71"/>
      <c r="L250" s="70"/>
      <c r="M250" s="70"/>
      <c r="N250" s="70"/>
      <c r="O250" s="70"/>
    </row>
    <row r="251" spans="1:16" ht="8.25" customHeight="1" x14ac:dyDescent="0.2">
      <c r="A251" s="5"/>
      <c r="B251" s="151"/>
      <c r="C251" s="59"/>
      <c r="D251" s="59"/>
      <c r="E251" s="59"/>
      <c r="F251" s="59"/>
      <c r="G251" s="59"/>
      <c r="H251" s="59"/>
      <c r="I251" s="59"/>
      <c r="J251" s="59"/>
      <c r="K251" s="59"/>
      <c r="L251" s="56"/>
      <c r="M251" s="56"/>
      <c r="N251" s="56"/>
      <c r="O251" s="56"/>
    </row>
    <row r="252" spans="1:16" s="6" customFormat="1" ht="16.5" customHeight="1" x14ac:dyDescent="0.2">
      <c r="A252" s="45"/>
      <c r="B252" s="165">
        <f>IF(DAY(AugSun1)=1,AugSun1+29,AugSun1+36)</f>
        <v>44809</v>
      </c>
      <c r="C252" s="68"/>
      <c r="D252" s="69">
        <f>IF(DAY(AugSun1)=1,AugSun1+30,AugSun1+37)</f>
        <v>44810</v>
      </c>
      <c r="E252" s="68"/>
      <c r="F252" s="69">
        <f>IF(DAY(AugSun1)=1,AugSun1+31,AugSun1+38)</f>
        <v>44811</v>
      </c>
      <c r="G252" s="68"/>
      <c r="H252" s="69">
        <f>IF(DAY(AugSun1)=1,AugSun1+32,AugSun1+39)</f>
        <v>44812</v>
      </c>
      <c r="I252" s="68"/>
      <c r="J252" s="69">
        <f>IF(DAY(AugSun1)=1,AugSun1+33,AugSun1+40)</f>
        <v>44813</v>
      </c>
      <c r="K252" s="68"/>
      <c r="L252" s="69">
        <f>IF(DAY(AugSun1)=1,AugSun1+34,AugSun1+41)</f>
        <v>44814</v>
      </c>
      <c r="M252" s="68"/>
      <c r="N252" s="69">
        <f>IF(DAY(AugSun1)=1,AugSun1+35,AugSun1+42)</f>
        <v>44815</v>
      </c>
      <c r="O252" s="68"/>
    </row>
    <row r="253" spans="1:16" ht="55.5" customHeight="1" x14ac:dyDescent="0.2">
      <c r="A253" s="5"/>
      <c r="B253" s="164"/>
      <c r="C253" s="111"/>
      <c r="D253" s="111"/>
      <c r="E253" s="111"/>
      <c r="F253" s="112"/>
      <c r="G253" s="112"/>
      <c r="H253" s="112"/>
      <c r="I253" s="112"/>
      <c r="J253" s="112"/>
      <c r="K253" s="112"/>
      <c r="L253" s="110"/>
      <c r="M253" s="110"/>
      <c r="N253" s="110"/>
      <c r="O253" s="110"/>
    </row>
    <row r="254" spans="1:16" ht="7.5" customHeight="1" x14ac:dyDescent="0.2"/>
    <row r="256" spans="1:16" ht="54" customHeight="1" x14ac:dyDescent="0.2">
      <c r="A256" s="108" t="str">
        <f>TEXT(DATE(CalendarYear,9,1),"[$-D07041E]mmmm")</f>
        <v>กันยายน</v>
      </c>
      <c r="B256" s="108"/>
      <c r="C256" s="108"/>
      <c r="D256" s="108"/>
      <c r="E256" s="108"/>
      <c r="F256" s="108"/>
      <c r="G256" s="108"/>
      <c r="H256" s="1"/>
      <c r="I256" s="2"/>
      <c r="J256" s="2"/>
      <c r="L256" s="107">
        <f>CalendarYear+543</f>
        <v>2565</v>
      </c>
      <c r="M256" s="107"/>
      <c r="N256" s="107"/>
      <c r="O256" s="107"/>
      <c r="P256" s="107"/>
    </row>
    <row r="257" spans="1:22" ht="19" customHeight="1" x14ac:dyDescent="0.3">
      <c r="A257" s="4"/>
      <c r="B257" s="141"/>
      <c r="C257" s="2"/>
      <c r="D257" s="2"/>
      <c r="E257" s="2"/>
      <c r="F257" s="2"/>
      <c r="G257" s="2"/>
      <c r="H257" s="2"/>
      <c r="I257" s="2"/>
      <c r="J257" s="2"/>
    </row>
    <row r="258" spans="1:22" ht="19" customHeight="1" x14ac:dyDescent="0.3">
      <c r="A258" s="4"/>
      <c r="B258" s="141"/>
      <c r="C258" s="2"/>
      <c r="D258" s="2"/>
      <c r="E258" s="2"/>
      <c r="F258" s="2"/>
      <c r="G258" s="2"/>
      <c r="H258" s="2"/>
      <c r="I258" s="2"/>
      <c r="J258" s="2"/>
    </row>
    <row r="259" spans="1:22" ht="19" customHeight="1" x14ac:dyDescent="0.3">
      <c r="A259" s="4"/>
      <c r="B259" s="141"/>
      <c r="C259" s="2"/>
      <c r="D259" s="2"/>
      <c r="E259" s="2"/>
      <c r="F259" s="2"/>
      <c r="G259" s="2"/>
      <c r="H259" s="2"/>
      <c r="I259" s="2"/>
      <c r="J259" s="2"/>
    </row>
    <row r="260" spans="1:22" ht="19" customHeight="1" x14ac:dyDescent="0.3">
      <c r="A260" s="4"/>
      <c r="B260" s="141"/>
      <c r="C260" s="2"/>
      <c r="D260" s="2"/>
      <c r="E260" s="2"/>
      <c r="F260" s="2"/>
      <c r="G260" s="2"/>
      <c r="H260" s="2"/>
      <c r="I260" s="2"/>
      <c r="J260" s="2"/>
    </row>
    <row r="261" spans="1:22" ht="19" customHeight="1" x14ac:dyDescent="0.3">
      <c r="A261" s="4"/>
      <c r="B261" s="141"/>
      <c r="C261" s="2"/>
      <c r="D261" s="2"/>
      <c r="E261" s="2"/>
      <c r="F261" s="2"/>
      <c r="G261" s="2"/>
      <c r="H261" s="2"/>
      <c r="I261" s="2"/>
      <c r="J261" s="2"/>
    </row>
    <row r="262" spans="1:22" ht="19" customHeight="1" x14ac:dyDescent="0.3">
      <c r="A262" s="4"/>
      <c r="B262" s="141"/>
      <c r="C262" s="2"/>
      <c r="D262" s="2"/>
      <c r="E262" s="2"/>
      <c r="F262" s="2"/>
      <c r="G262" s="2"/>
      <c r="H262" s="2"/>
      <c r="I262" s="2"/>
      <c r="J262" s="2"/>
    </row>
    <row r="263" spans="1:22" ht="19" customHeight="1" x14ac:dyDescent="0.3">
      <c r="A263" s="4"/>
      <c r="B263" s="141"/>
      <c r="C263" s="2"/>
      <c r="D263" s="2"/>
      <c r="E263" s="2"/>
      <c r="F263" s="2"/>
      <c r="G263" s="2"/>
      <c r="H263" s="2"/>
      <c r="I263" s="2"/>
      <c r="J263" s="2"/>
    </row>
    <row r="264" spans="1:22" ht="19" customHeight="1" x14ac:dyDescent="0.3">
      <c r="A264" s="4"/>
      <c r="B264" s="141"/>
      <c r="C264" s="2"/>
      <c r="D264" s="2"/>
      <c r="E264" s="2"/>
      <c r="F264" s="2"/>
      <c r="G264" s="2"/>
      <c r="H264" s="2"/>
      <c r="I264" s="2"/>
      <c r="J264" s="2"/>
    </row>
    <row r="265" spans="1:22" ht="19" customHeight="1" x14ac:dyDescent="0.3">
      <c r="A265" s="4"/>
      <c r="B265" s="141"/>
      <c r="C265" s="2"/>
      <c r="D265" s="2"/>
      <c r="E265" s="2"/>
      <c r="F265" s="2"/>
      <c r="G265" s="2"/>
      <c r="H265" s="2"/>
      <c r="I265" s="2"/>
      <c r="J265" s="2"/>
    </row>
    <row r="266" spans="1:22" ht="19" customHeight="1" x14ac:dyDescent="0.3">
      <c r="A266" s="4"/>
      <c r="B266" s="141"/>
      <c r="C266" s="2"/>
      <c r="D266" s="2"/>
      <c r="E266" s="2"/>
      <c r="F266" s="2"/>
      <c r="G266" s="2"/>
      <c r="H266" s="2"/>
      <c r="I266" s="2"/>
      <c r="J266" s="2"/>
    </row>
    <row r="267" spans="1:22" ht="19" customHeight="1" x14ac:dyDescent="0.2">
      <c r="A267" s="5"/>
      <c r="B267" s="142"/>
      <c r="C267" s="6"/>
      <c r="D267" s="6"/>
      <c r="E267" s="6"/>
      <c r="F267" s="6"/>
      <c r="G267" s="6"/>
      <c r="H267" s="6"/>
      <c r="I267" s="6"/>
      <c r="J267" s="6"/>
      <c r="K267" s="6"/>
      <c r="L267" s="6"/>
      <c r="M267" s="6"/>
      <c r="N267" s="6"/>
      <c r="O267" s="6"/>
    </row>
    <row r="268" spans="1:22" s="5" customFormat="1" ht="27" customHeight="1" x14ac:dyDescent="0.2">
      <c r="B268" s="160" t="s">
        <v>6</v>
      </c>
      <c r="C268" s="96"/>
      <c r="D268" s="96" t="s">
        <v>5</v>
      </c>
      <c r="E268" s="96"/>
      <c r="F268" s="96" t="s">
        <v>4</v>
      </c>
      <c r="G268" s="96"/>
      <c r="H268" s="96" t="s">
        <v>3</v>
      </c>
      <c r="I268" s="96"/>
      <c r="J268" s="96" t="s">
        <v>2</v>
      </c>
      <c r="K268" s="96"/>
      <c r="L268" s="96" t="s">
        <v>1</v>
      </c>
      <c r="M268" s="96"/>
      <c r="N268" s="96" t="s">
        <v>0</v>
      </c>
      <c r="O268" s="96"/>
      <c r="P268" s="3"/>
      <c r="Q268" s="7"/>
      <c r="U268" s="3"/>
      <c r="V268" s="3"/>
    </row>
    <row r="269" spans="1:22" s="12" customFormat="1" ht="16.5" customHeight="1" x14ac:dyDescent="0.2">
      <c r="B269" s="168">
        <f>IF(DAY(SepSun1)=1,SepSun1-6,SepSun1+1)</f>
        <v>44802</v>
      </c>
      <c r="C269" s="54"/>
      <c r="D269" s="53">
        <f>IF(DAY(SepSun1)=1,SepSun1-5,SepSun1+2)</f>
        <v>44803</v>
      </c>
      <c r="E269" s="54"/>
      <c r="F269" s="53">
        <f>IF(DAY(SepSun1)=1,SepSun1-4,SepSun1+3)</f>
        <v>44804</v>
      </c>
      <c r="G269" s="54"/>
      <c r="H269" s="53">
        <f>IF(DAY(SepSun1)=1,SepSun1-3,SepSun1+4)</f>
        <v>44805</v>
      </c>
      <c r="I269" s="54"/>
      <c r="J269" s="53">
        <f>IF(DAY(SepSun1)=1,SepSun1-2,SepSun1+5)</f>
        <v>44806</v>
      </c>
      <c r="K269" s="54"/>
      <c r="L269" s="53">
        <f>IF(DAY(SepSun1)=1,SepSun1-1,SepSun1+6)</f>
        <v>44807</v>
      </c>
      <c r="M269" s="54"/>
      <c r="N269" s="53">
        <f>IF(DAY(SepSun1)=1,SepSun1,SepSun1+7)</f>
        <v>44808</v>
      </c>
      <c r="O269" s="54"/>
      <c r="P269" s="13"/>
      <c r="Q269" s="13"/>
      <c r="U269" s="14"/>
      <c r="V269" s="13"/>
    </row>
    <row r="270" spans="1:22" s="11" customFormat="1" ht="55.5" customHeight="1" x14ac:dyDescent="0.2">
      <c r="A270" s="5"/>
      <c r="B270" s="169"/>
      <c r="C270" s="61"/>
      <c r="D270" s="61"/>
      <c r="E270" s="61"/>
      <c r="F270" s="61"/>
      <c r="G270" s="61"/>
      <c r="H270" s="61" t="s">
        <v>88</v>
      </c>
      <c r="I270" s="61"/>
      <c r="J270" s="61" t="s">
        <v>89</v>
      </c>
      <c r="K270" s="61"/>
      <c r="L270" s="58"/>
      <c r="M270" s="58"/>
      <c r="N270" s="58"/>
      <c r="O270" s="58"/>
    </row>
    <row r="271" spans="1:22" s="11" customFormat="1" ht="8.25" customHeight="1" x14ac:dyDescent="0.2">
      <c r="A271" s="5"/>
      <c r="B271" s="151"/>
      <c r="C271" s="59"/>
      <c r="D271" s="59"/>
      <c r="E271" s="59"/>
      <c r="F271" s="59"/>
      <c r="G271" s="59"/>
      <c r="H271" s="59"/>
      <c r="I271" s="59"/>
      <c r="J271" s="59"/>
      <c r="K271" s="59"/>
      <c r="L271" s="56"/>
      <c r="M271" s="56"/>
      <c r="N271" s="56"/>
      <c r="O271" s="56"/>
    </row>
    <row r="272" spans="1:22" s="13" customFormat="1" ht="16.5" customHeight="1" x14ac:dyDescent="0.2">
      <c r="A272" s="12"/>
      <c r="B272" s="168">
        <f>IF(DAY(SepSun1)=1,SepSun1+1,SepSun1+8)</f>
        <v>44809</v>
      </c>
      <c r="C272" s="54"/>
      <c r="D272" s="53">
        <f>IF(DAY(SepSun1)=1,SepSun1+2,SepSun1+9)</f>
        <v>44810</v>
      </c>
      <c r="E272" s="54"/>
      <c r="F272" s="53">
        <f>IF(DAY(SepSun1)=1,SepSun1+3,SepSun1+10)</f>
        <v>44811</v>
      </c>
      <c r="G272" s="54"/>
      <c r="H272" s="53">
        <f>IF(DAY(SepSun1)=1,SepSun1+4,SepSun1+11)</f>
        <v>44812</v>
      </c>
      <c r="I272" s="54"/>
      <c r="J272" s="53">
        <f>IF(DAY(SepSun1)=1,SepSun1+5,SepSun1+12)</f>
        <v>44813</v>
      </c>
      <c r="K272" s="54"/>
      <c r="L272" s="53">
        <f>IF(DAY(SepSun1)=1,SepSun1+6,SepSun1+13)</f>
        <v>44814</v>
      </c>
      <c r="M272" s="54"/>
      <c r="N272" s="53">
        <f>IF(DAY(SepSun1)=1,SepSun1+7,SepSun1+14)</f>
        <v>44815</v>
      </c>
      <c r="O272" s="54"/>
    </row>
    <row r="273" spans="1:16" ht="55.5" customHeight="1" x14ac:dyDescent="0.2">
      <c r="A273" s="5"/>
      <c r="B273" s="169"/>
      <c r="C273" s="61"/>
      <c r="D273" s="61"/>
      <c r="E273" s="61"/>
      <c r="F273" s="61"/>
      <c r="G273" s="61"/>
      <c r="H273" s="61"/>
      <c r="I273" s="61"/>
      <c r="J273" s="61"/>
      <c r="K273" s="61"/>
      <c r="L273" s="58" t="s">
        <v>90</v>
      </c>
      <c r="M273" s="58"/>
      <c r="N273" s="58"/>
      <c r="O273" s="58"/>
    </row>
    <row r="274" spans="1:16" ht="8.25" customHeight="1" x14ac:dyDescent="0.2">
      <c r="A274" s="5"/>
      <c r="B274" s="151"/>
      <c r="C274" s="59"/>
      <c r="D274" s="59"/>
      <c r="E274" s="59"/>
      <c r="F274" s="59"/>
      <c r="G274" s="59"/>
      <c r="H274" s="59"/>
      <c r="I274" s="59"/>
      <c r="J274" s="59"/>
      <c r="K274" s="59"/>
      <c r="L274" s="56"/>
      <c r="M274" s="56"/>
      <c r="N274" s="56"/>
      <c r="O274" s="56"/>
    </row>
    <row r="275" spans="1:16" s="13" customFormat="1" ht="16.5" customHeight="1" x14ac:dyDescent="0.2">
      <c r="A275" s="12"/>
      <c r="B275" s="168">
        <f>IF(DAY(SepSun1)=1,SepSun1+8,SepSun1+15)</f>
        <v>44816</v>
      </c>
      <c r="C275" s="54"/>
      <c r="D275" s="53">
        <f>IF(DAY(SepSun1)=1,SepSun1+9,SepSun1+16)</f>
        <v>44817</v>
      </c>
      <c r="E275" s="54"/>
      <c r="F275" s="53">
        <f>IF(DAY(SepSun1)=1,SepSun1+10,SepSun1+17)</f>
        <v>44818</v>
      </c>
      <c r="G275" s="54"/>
      <c r="H275" s="53">
        <f>IF(DAY(SepSun1)=1,SepSun1+11,SepSun1+18)</f>
        <v>44819</v>
      </c>
      <c r="I275" s="54"/>
      <c r="J275" s="53">
        <f>IF(DAY(SepSun1)=1,SepSun1+12,SepSun1+19)</f>
        <v>44820</v>
      </c>
      <c r="K275" s="54"/>
      <c r="L275" s="53">
        <f>IF(DAY(SepSun1)=1,SepSun1+13,SepSun1+20)</f>
        <v>44821</v>
      </c>
      <c r="M275" s="54"/>
      <c r="N275" s="53">
        <f>IF(DAY(SepSun1)=1,SepSun1+14,SepSun1+21)</f>
        <v>44822</v>
      </c>
      <c r="O275" s="54"/>
    </row>
    <row r="276" spans="1:16" ht="55.5" customHeight="1" x14ac:dyDescent="0.2">
      <c r="A276" s="5"/>
      <c r="B276" s="169"/>
      <c r="C276" s="61"/>
      <c r="D276" s="61" t="s">
        <v>91</v>
      </c>
      <c r="E276" s="61"/>
      <c r="F276" s="61"/>
      <c r="G276" s="61"/>
      <c r="H276" s="61" t="s">
        <v>92</v>
      </c>
      <c r="I276" s="61"/>
      <c r="J276" s="60" t="s">
        <v>93</v>
      </c>
      <c r="K276" s="61"/>
      <c r="L276" s="58"/>
      <c r="M276" s="58"/>
      <c r="N276" s="58"/>
      <c r="O276" s="58"/>
    </row>
    <row r="277" spans="1:16" ht="8.25" customHeight="1" x14ac:dyDescent="0.2">
      <c r="A277" s="5"/>
      <c r="B277" s="151"/>
      <c r="C277" s="59"/>
      <c r="D277" s="59"/>
      <c r="E277" s="59"/>
      <c r="F277" s="59"/>
      <c r="G277" s="59"/>
      <c r="H277" s="59"/>
      <c r="I277" s="59"/>
      <c r="J277" s="59"/>
      <c r="K277" s="59"/>
      <c r="L277" s="56"/>
      <c r="M277" s="56"/>
      <c r="N277" s="56"/>
      <c r="O277" s="56"/>
    </row>
    <row r="278" spans="1:16" s="13" customFormat="1" ht="16.5" customHeight="1" x14ac:dyDescent="0.2">
      <c r="A278" s="12"/>
      <c r="B278" s="168">
        <f>IF(DAY(SepSun1)=1,SepSun1+15,SepSun1+22)</f>
        <v>44823</v>
      </c>
      <c r="C278" s="54"/>
      <c r="D278" s="53">
        <f>IF(DAY(SepSun1)=1,SepSun1+16,SepSun1+23)</f>
        <v>44824</v>
      </c>
      <c r="E278" s="54"/>
      <c r="F278" s="53">
        <f>IF(DAY(SepSun1)=1,SepSun1+17,SepSun1+24)</f>
        <v>44825</v>
      </c>
      <c r="G278" s="54"/>
      <c r="H278" s="53">
        <f>IF(DAY(SepSun1)=1,SepSun1+18,SepSun1+25)</f>
        <v>44826</v>
      </c>
      <c r="I278" s="54"/>
      <c r="J278" s="53">
        <f>IF(DAY(SepSun1)=1,SepSun1+19,SepSun1+26)</f>
        <v>44827</v>
      </c>
      <c r="K278" s="54"/>
      <c r="L278" s="53">
        <f>IF(DAY(SepSun1)=1,SepSun1+20,SepSun1+27)</f>
        <v>44828</v>
      </c>
      <c r="M278" s="54"/>
      <c r="N278" s="53">
        <f>IF(DAY(SepSun1)=1,SepSun1+21,SepSun1+28)</f>
        <v>44829</v>
      </c>
      <c r="O278" s="54"/>
    </row>
    <row r="279" spans="1:16" ht="55.5" customHeight="1" x14ac:dyDescent="0.2">
      <c r="A279" s="5"/>
      <c r="B279" s="169" t="s">
        <v>93</v>
      </c>
      <c r="C279" s="61"/>
      <c r="D279" s="61" t="s">
        <v>94</v>
      </c>
      <c r="E279" s="61"/>
      <c r="F279" s="61" t="s">
        <v>95</v>
      </c>
      <c r="G279" s="61"/>
      <c r="H279" s="61" t="s">
        <v>96</v>
      </c>
      <c r="I279" s="61"/>
      <c r="J279" s="61"/>
      <c r="K279" s="61"/>
      <c r="L279" s="58" t="s">
        <v>97</v>
      </c>
      <c r="M279" s="58"/>
      <c r="N279" s="58"/>
      <c r="O279" s="58"/>
    </row>
    <row r="280" spans="1:16" ht="8.25" customHeight="1" x14ac:dyDescent="0.2">
      <c r="A280" s="5"/>
      <c r="B280" s="151"/>
      <c r="C280" s="59"/>
      <c r="D280" s="59"/>
      <c r="E280" s="59"/>
      <c r="F280" s="59"/>
      <c r="G280" s="59"/>
      <c r="H280" s="59"/>
      <c r="I280" s="59"/>
      <c r="J280" s="59"/>
      <c r="K280" s="59"/>
      <c r="L280" s="56"/>
      <c r="M280" s="56"/>
      <c r="N280" s="56"/>
      <c r="O280" s="56"/>
    </row>
    <row r="281" spans="1:16" s="13" customFormat="1" ht="16.5" customHeight="1" x14ac:dyDescent="0.2">
      <c r="A281" s="12"/>
      <c r="B281" s="168">
        <f>IF(DAY(SepSun1)=1,SepSun1+22,SepSun1+29)</f>
        <v>44830</v>
      </c>
      <c r="C281" s="54"/>
      <c r="D281" s="53">
        <f>IF(DAY(SepSun1)=1,SepSun1+23,SepSun1+30)</f>
        <v>44831</v>
      </c>
      <c r="E281" s="54"/>
      <c r="F281" s="53">
        <f>IF(DAY(SepSun1)=1,SepSun1+24,SepSun1+31)</f>
        <v>44832</v>
      </c>
      <c r="G281" s="54"/>
      <c r="H281" s="53">
        <f>IF(DAY(SepSun1)=1,SepSun1+25,SepSun1+32)</f>
        <v>44833</v>
      </c>
      <c r="I281" s="54"/>
      <c r="J281" s="53">
        <f>IF(DAY(SepSun1)=1,SepSun1+26,SepSun1+33)</f>
        <v>44834</v>
      </c>
      <c r="K281" s="54"/>
      <c r="L281" s="53">
        <f>IF(DAY(SepSun1)=1,SepSun1+27,SepSun1+34)</f>
        <v>44835</v>
      </c>
      <c r="M281" s="54"/>
      <c r="N281" s="53">
        <f>IF(DAY(SepSun1)=1,SepSun1+28,SepSun1+35)</f>
        <v>44836</v>
      </c>
      <c r="O281" s="54"/>
    </row>
    <row r="282" spans="1:16" ht="55.5" customHeight="1" x14ac:dyDescent="0.2">
      <c r="A282" s="5"/>
      <c r="B282" s="169"/>
      <c r="C282" s="61"/>
      <c r="D282" s="61" t="s">
        <v>98</v>
      </c>
      <c r="E282" s="61"/>
      <c r="F282" s="61" t="s">
        <v>99</v>
      </c>
      <c r="G282" s="61"/>
      <c r="H282" s="61" t="s">
        <v>100</v>
      </c>
      <c r="I282" s="61"/>
      <c r="J282" s="61"/>
      <c r="K282" s="61"/>
      <c r="L282" s="58"/>
      <c r="M282" s="58"/>
      <c r="N282" s="58"/>
      <c r="O282" s="58"/>
    </row>
    <row r="283" spans="1:16" ht="8.25" customHeight="1" x14ac:dyDescent="0.2">
      <c r="A283" s="5"/>
      <c r="B283" s="151"/>
      <c r="C283" s="59"/>
      <c r="D283" s="59"/>
      <c r="E283" s="59"/>
      <c r="F283" s="59"/>
      <c r="G283" s="59"/>
      <c r="H283" s="59"/>
      <c r="I283" s="59"/>
      <c r="J283" s="59"/>
      <c r="K283" s="59"/>
      <c r="L283" s="56"/>
      <c r="M283" s="56"/>
      <c r="N283" s="56"/>
      <c r="O283" s="56"/>
    </row>
    <row r="284" spans="1:16" s="13" customFormat="1" ht="16.5" customHeight="1" x14ac:dyDescent="0.2">
      <c r="A284" s="12"/>
      <c r="B284" s="168">
        <f>IF(DAY(SepSun1)=1,SepSun1+29,SepSun1+36)</f>
        <v>44837</v>
      </c>
      <c r="C284" s="54"/>
      <c r="D284" s="53">
        <f>IF(DAY(SepSun1)=1,SepSun1+30,SepSun1+37)</f>
        <v>44838</v>
      </c>
      <c r="E284" s="54"/>
      <c r="F284" s="53">
        <f>IF(DAY(SepSun1)=1,SepSun1+31,SepSun1+38)</f>
        <v>44839</v>
      </c>
      <c r="G284" s="54"/>
      <c r="H284" s="53">
        <f>IF(DAY(SepSun1)=1,SepSun1+32,SepSun1+39)</f>
        <v>44840</v>
      </c>
      <c r="I284" s="54"/>
      <c r="J284" s="53">
        <f>IF(DAY(SepSun1)=1,SepSun1+33,SepSun1+40)</f>
        <v>44841</v>
      </c>
      <c r="K284" s="54"/>
      <c r="L284" s="53">
        <f>IF(DAY(SepSun1)=1,SepSun1+34,SepSun1+41)</f>
        <v>44842</v>
      </c>
      <c r="M284" s="54"/>
      <c r="N284" s="53">
        <f>IF(DAY(SepSun1)=1,SepSun1+35,SepSun1+42)</f>
        <v>44843</v>
      </c>
      <c r="O284" s="54"/>
    </row>
    <row r="285" spans="1:16" ht="55.5" customHeight="1" x14ac:dyDescent="0.2">
      <c r="A285" s="5"/>
      <c r="B285" s="170"/>
      <c r="C285" s="103"/>
      <c r="D285" s="103"/>
      <c r="E285" s="103"/>
      <c r="F285" s="104"/>
      <c r="G285" s="104"/>
      <c r="H285" s="104"/>
      <c r="I285" s="104"/>
      <c r="J285" s="104"/>
      <c r="K285" s="104"/>
      <c r="L285" s="98"/>
      <c r="M285" s="98"/>
      <c r="N285" s="98"/>
      <c r="O285" s="98"/>
    </row>
    <row r="286" spans="1:16" ht="7.5" customHeight="1" x14ac:dyDescent="0.2"/>
    <row r="288" spans="1:16" ht="54" customHeight="1" x14ac:dyDescent="0.2">
      <c r="A288" s="108" t="str">
        <f>TEXT(DATE(CalendarYear,10,1),"[$-D07041E]mmmm")</f>
        <v>ตุลาคม</v>
      </c>
      <c r="B288" s="108"/>
      <c r="C288" s="108"/>
      <c r="D288" s="108"/>
      <c r="E288" s="108"/>
      <c r="F288" s="108"/>
      <c r="G288" s="108"/>
      <c r="H288" s="1"/>
      <c r="I288" s="2"/>
      <c r="J288" s="2"/>
      <c r="L288" s="107">
        <f>CalendarYear+543</f>
        <v>2565</v>
      </c>
      <c r="M288" s="107"/>
      <c r="N288" s="107"/>
      <c r="O288" s="107"/>
      <c r="P288" s="107"/>
    </row>
    <row r="289" spans="1:22" ht="19" customHeight="1" x14ac:dyDescent="0.3">
      <c r="A289" s="4"/>
      <c r="B289" s="141"/>
      <c r="C289" s="2"/>
      <c r="D289" s="2"/>
      <c r="E289" s="2"/>
      <c r="F289" s="2"/>
      <c r="G289" s="2"/>
      <c r="H289" s="2"/>
      <c r="I289" s="2"/>
      <c r="J289" s="2"/>
    </row>
    <row r="290" spans="1:22" ht="19" customHeight="1" x14ac:dyDescent="0.3">
      <c r="A290" s="4"/>
      <c r="B290" s="141"/>
      <c r="C290" s="2"/>
      <c r="D290" s="2"/>
      <c r="E290" s="2"/>
      <c r="F290" s="2"/>
      <c r="G290" s="2"/>
      <c r="H290" s="2"/>
      <c r="I290" s="2"/>
      <c r="J290" s="2"/>
    </row>
    <row r="291" spans="1:22" ht="19" customHeight="1" x14ac:dyDescent="0.3">
      <c r="A291" s="4"/>
      <c r="B291" s="141"/>
      <c r="C291" s="2"/>
      <c r="D291" s="2"/>
      <c r="E291" s="2"/>
      <c r="F291" s="2"/>
      <c r="G291" s="2"/>
      <c r="H291" s="2"/>
      <c r="I291" s="2"/>
      <c r="J291" s="2"/>
    </row>
    <row r="292" spans="1:22" ht="19" customHeight="1" x14ac:dyDescent="0.3">
      <c r="A292" s="4"/>
      <c r="B292" s="141"/>
      <c r="C292" s="2"/>
      <c r="D292" s="2"/>
      <c r="E292" s="2"/>
      <c r="F292" s="2"/>
      <c r="G292" s="2"/>
      <c r="H292" s="2"/>
      <c r="I292" s="2"/>
      <c r="J292" s="2"/>
    </row>
    <row r="293" spans="1:22" ht="19" customHeight="1" x14ac:dyDescent="0.3">
      <c r="A293" s="4"/>
      <c r="B293" s="141"/>
      <c r="C293" s="2"/>
      <c r="D293" s="2"/>
      <c r="E293" s="2"/>
      <c r="F293" s="2"/>
      <c r="G293" s="2"/>
      <c r="H293" s="2"/>
      <c r="I293" s="2"/>
      <c r="J293" s="2"/>
    </row>
    <row r="294" spans="1:22" ht="19" customHeight="1" x14ac:dyDescent="0.3">
      <c r="A294" s="4"/>
      <c r="B294" s="141"/>
      <c r="C294" s="2"/>
      <c r="D294" s="2"/>
      <c r="E294" s="2"/>
      <c r="F294" s="2"/>
      <c r="G294" s="2"/>
      <c r="H294" s="2"/>
      <c r="I294" s="2"/>
      <c r="J294" s="2"/>
    </row>
    <row r="295" spans="1:22" ht="19" customHeight="1" x14ac:dyDescent="0.3">
      <c r="A295" s="4"/>
      <c r="B295" s="141"/>
      <c r="C295" s="2"/>
      <c r="D295" s="2"/>
      <c r="E295" s="2"/>
      <c r="F295" s="2"/>
      <c r="G295" s="2"/>
      <c r="H295" s="2"/>
      <c r="I295" s="2"/>
      <c r="J295" s="2"/>
    </row>
    <row r="296" spans="1:22" ht="19" customHeight="1" x14ac:dyDescent="0.3">
      <c r="A296" s="4"/>
      <c r="B296" s="141"/>
      <c r="C296" s="2"/>
      <c r="D296" s="2"/>
      <c r="E296" s="2"/>
      <c r="F296" s="2"/>
      <c r="G296" s="2"/>
      <c r="H296" s="2"/>
      <c r="I296" s="2"/>
      <c r="J296" s="2"/>
    </row>
    <row r="297" spans="1:22" ht="19" customHeight="1" x14ac:dyDescent="0.3">
      <c r="A297" s="4"/>
      <c r="B297" s="141"/>
      <c r="C297" s="2"/>
      <c r="D297" s="2"/>
      <c r="E297" s="2"/>
      <c r="F297" s="2"/>
      <c r="G297" s="2"/>
      <c r="H297" s="2"/>
      <c r="I297" s="2"/>
      <c r="J297" s="2"/>
    </row>
    <row r="298" spans="1:22" ht="19" customHeight="1" x14ac:dyDescent="0.3">
      <c r="A298" s="4"/>
      <c r="B298" s="141"/>
      <c r="C298" s="2"/>
      <c r="D298" s="2"/>
      <c r="E298" s="2"/>
      <c r="F298" s="2"/>
      <c r="G298" s="2"/>
      <c r="H298" s="2"/>
      <c r="I298" s="2"/>
      <c r="J298" s="2"/>
    </row>
    <row r="299" spans="1:22" ht="19" customHeight="1" x14ac:dyDescent="0.2">
      <c r="A299" s="5"/>
      <c r="B299" s="142"/>
      <c r="C299" s="6"/>
      <c r="D299" s="6"/>
      <c r="E299" s="6"/>
      <c r="F299" s="6"/>
      <c r="G299" s="6"/>
      <c r="H299" s="6"/>
      <c r="I299" s="6"/>
      <c r="J299" s="6"/>
      <c r="K299" s="6"/>
      <c r="L299" s="6"/>
      <c r="M299" s="6"/>
      <c r="N299" s="6"/>
      <c r="O299" s="6"/>
    </row>
    <row r="300" spans="1:22" s="5" customFormat="1" ht="27" customHeight="1" x14ac:dyDescent="0.2">
      <c r="B300" s="160" t="s">
        <v>6</v>
      </c>
      <c r="C300" s="96"/>
      <c r="D300" s="96" t="s">
        <v>5</v>
      </c>
      <c r="E300" s="96"/>
      <c r="F300" s="96" t="s">
        <v>4</v>
      </c>
      <c r="G300" s="96"/>
      <c r="H300" s="96" t="s">
        <v>3</v>
      </c>
      <c r="I300" s="96"/>
      <c r="J300" s="96" t="s">
        <v>2</v>
      </c>
      <c r="K300" s="96"/>
      <c r="L300" s="96" t="s">
        <v>1</v>
      </c>
      <c r="M300" s="96"/>
      <c r="N300" s="96" t="s">
        <v>0</v>
      </c>
      <c r="O300" s="96"/>
      <c r="P300" s="3"/>
      <c r="Q300" s="7"/>
      <c r="U300" s="3"/>
      <c r="V300" s="3"/>
    </row>
    <row r="301" spans="1:22" s="8" customFormat="1" ht="16.5" customHeight="1" x14ac:dyDescent="0.2">
      <c r="B301" s="171">
        <f>IF(DAY(OctSun1)=1,OctSun1-6,OctSun1+1)</f>
        <v>44830</v>
      </c>
      <c r="C301" s="63"/>
      <c r="D301" s="64">
        <f>IF(DAY(OctSun1)=1,OctSun1-5,OctSun1+2)</f>
        <v>44831</v>
      </c>
      <c r="E301" s="63"/>
      <c r="F301" s="64">
        <f>IF(DAY(OctSun1)=1,OctSun1-4,OctSun1+3)</f>
        <v>44832</v>
      </c>
      <c r="G301" s="63"/>
      <c r="H301" s="64">
        <f>IF(DAY(OctSun1)=1,OctSun1-3,OctSun1+4)</f>
        <v>44833</v>
      </c>
      <c r="I301" s="63"/>
      <c r="J301" s="64">
        <f>IF(DAY(OctSun1)=1,OctSun1-2,OctSun1+5)</f>
        <v>44834</v>
      </c>
      <c r="K301" s="63"/>
      <c r="L301" s="64">
        <f>IF(DAY(OctSun1)=1,OctSun1-1,OctSun1+6)</f>
        <v>44835</v>
      </c>
      <c r="M301" s="63"/>
      <c r="N301" s="64">
        <f>IF(DAY(OctSun1)=1,OctSun1,OctSun1+7)</f>
        <v>44836</v>
      </c>
      <c r="O301" s="63"/>
      <c r="P301" s="9"/>
      <c r="Q301" s="9"/>
      <c r="U301" s="10"/>
      <c r="V301" s="9"/>
    </row>
    <row r="302" spans="1:22" s="11" customFormat="1" ht="55.5" customHeight="1" x14ac:dyDescent="0.2">
      <c r="A302" s="5"/>
      <c r="B302" s="169"/>
      <c r="C302" s="61"/>
      <c r="D302" s="61"/>
      <c r="E302" s="61"/>
      <c r="F302" s="61"/>
      <c r="G302" s="61"/>
      <c r="H302" s="61"/>
      <c r="I302" s="61"/>
      <c r="J302" s="61"/>
      <c r="K302" s="61"/>
      <c r="L302" s="58" t="s">
        <v>101</v>
      </c>
      <c r="M302" s="58"/>
      <c r="N302" s="58"/>
      <c r="O302" s="58"/>
    </row>
    <row r="303" spans="1:22" s="11" customFormat="1" ht="8.25" customHeight="1" x14ac:dyDescent="0.2">
      <c r="A303" s="5"/>
      <c r="B303" s="151"/>
      <c r="C303" s="59"/>
      <c r="D303" s="59"/>
      <c r="E303" s="59"/>
      <c r="F303" s="59"/>
      <c r="G303" s="59"/>
      <c r="H303" s="59"/>
      <c r="I303" s="59"/>
      <c r="J303" s="59"/>
      <c r="K303" s="59"/>
      <c r="L303" s="56"/>
      <c r="M303" s="56"/>
      <c r="N303" s="56"/>
      <c r="O303" s="56"/>
    </row>
    <row r="304" spans="1:22" s="9" customFormat="1" ht="16.5" customHeight="1" x14ac:dyDescent="0.2">
      <c r="A304" s="8"/>
      <c r="B304" s="171">
        <f>IF(DAY(OctSun1)=1,OctSun1+1,OctSun1+8)</f>
        <v>44837</v>
      </c>
      <c r="C304" s="63"/>
      <c r="D304" s="64">
        <f>IF(DAY(OctSun1)=1,OctSun1+2,OctSun1+9)</f>
        <v>44838</v>
      </c>
      <c r="E304" s="63"/>
      <c r="F304" s="64">
        <f>IF(DAY(OctSun1)=1,OctSun1+3,OctSun1+10)</f>
        <v>44839</v>
      </c>
      <c r="G304" s="63"/>
      <c r="H304" s="64">
        <f>IF(DAY(OctSun1)=1,OctSun1+4,OctSun1+11)</f>
        <v>44840</v>
      </c>
      <c r="I304" s="63"/>
      <c r="J304" s="64">
        <f>IF(DAY(OctSun1)=1,OctSun1+5,OctSun1+12)</f>
        <v>44841</v>
      </c>
      <c r="K304" s="63"/>
      <c r="L304" s="64">
        <f>IF(DAY(OctSun1)=1,OctSun1+6,OctSun1+13)</f>
        <v>44842</v>
      </c>
      <c r="M304" s="63"/>
      <c r="N304" s="64">
        <f>IF(DAY(OctSun1)=1,OctSun1+7,OctSun1+14)</f>
        <v>44843</v>
      </c>
      <c r="O304" s="63"/>
    </row>
    <row r="305" spans="1:16" ht="55.5" customHeight="1" x14ac:dyDescent="0.2">
      <c r="A305" s="5"/>
      <c r="B305" s="169"/>
      <c r="C305" s="61"/>
      <c r="D305" s="61" t="s">
        <v>102</v>
      </c>
      <c r="E305" s="61"/>
      <c r="F305" s="61" t="s">
        <v>103</v>
      </c>
      <c r="G305" s="61"/>
      <c r="H305" s="61"/>
      <c r="I305" s="61"/>
      <c r="J305" s="61"/>
      <c r="K305" s="61"/>
      <c r="L305" s="58" t="s">
        <v>104</v>
      </c>
      <c r="M305" s="58"/>
      <c r="N305" s="58" t="s">
        <v>105</v>
      </c>
      <c r="O305" s="58"/>
    </row>
    <row r="306" spans="1:16" ht="8.25" customHeight="1" x14ac:dyDescent="0.2">
      <c r="A306" s="5"/>
      <c r="B306" s="151"/>
      <c r="C306" s="59"/>
      <c r="D306" s="59"/>
      <c r="E306" s="59"/>
      <c r="F306" s="59"/>
      <c r="G306" s="59"/>
      <c r="H306" s="59"/>
      <c r="I306" s="59"/>
      <c r="J306" s="59"/>
      <c r="K306" s="59"/>
      <c r="L306" s="56"/>
      <c r="M306" s="56"/>
      <c r="N306" s="56"/>
      <c r="O306" s="56"/>
    </row>
    <row r="307" spans="1:16" s="9" customFormat="1" ht="16.5" customHeight="1" x14ac:dyDescent="0.2">
      <c r="A307" s="8"/>
      <c r="B307" s="171">
        <f>IF(DAY(OctSun1)=1,OctSun1+8,OctSun1+15)</f>
        <v>44844</v>
      </c>
      <c r="C307" s="63"/>
      <c r="D307" s="64">
        <f>IF(DAY(OctSun1)=1,OctSun1+9,OctSun1+16)</f>
        <v>44845</v>
      </c>
      <c r="E307" s="63"/>
      <c r="F307" s="64">
        <f>IF(DAY(OctSun1)=1,OctSun1+10,OctSun1+17)</f>
        <v>44846</v>
      </c>
      <c r="G307" s="63"/>
      <c r="H307" s="64">
        <f>IF(DAY(OctSun1)=1,OctSun1+11,OctSun1+18)</f>
        <v>44847</v>
      </c>
      <c r="I307" s="63"/>
      <c r="J307" s="64">
        <f>IF(DAY(OctSun1)=1,OctSun1+12,OctSun1+19)</f>
        <v>44848</v>
      </c>
      <c r="K307" s="63"/>
      <c r="L307" s="64">
        <f>IF(DAY(OctSun1)=1,OctSun1+13,OctSun1+20)</f>
        <v>44849</v>
      </c>
      <c r="M307" s="63"/>
      <c r="N307" s="64">
        <f>IF(DAY(OctSun1)=1,OctSun1+14,OctSun1+21)</f>
        <v>44850</v>
      </c>
      <c r="O307" s="63"/>
    </row>
    <row r="308" spans="1:16" ht="55.5" customHeight="1" x14ac:dyDescent="0.2">
      <c r="A308" s="5"/>
      <c r="B308" s="169"/>
      <c r="C308" s="61"/>
      <c r="D308" s="61"/>
      <c r="E308" s="61"/>
      <c r="F308" s="61"/>
      <c r="G308" s="61"/>
      <c r="H308" s="61" t="s">
        <v>106</v>
      </c>
      <c r="I308" s="61"/>
      <c r="J308" s="60" t="s">
        <v>107</v>
      </c>
      <c r="K308" s="61"/>
      <c r="L308" s="58" t="s">
        <v>108</v>
      </c>
      <c r="M308" s="58"/>
      <c r="N308" s="58" t="s">
        <v>109</v>
      </c>
      <c r="O308" s="58"/>
    </row>
    <row r="309" spans="1:16" ht="8.25" customHeight="1" x14ac:dyDescent="0.2">
      <c r="A309" s="5"/>
      <c r="B309" s="151"/>
      <c r="C309" s="59"/>
      <c r="D309" s="59"/>
      <c r="E309" s="59"/>
      <c r="F309" s="59"/>
      <c r="G309" s="59"/>
      <c r="H309" s="59"/>
      <c r="I309" s="59"/>
      <c r="J309" s="59"/>
      <c r="K309" s="59"/>
      <c r="L309" s="56"/>
      <c r="M309" s="56"/>
      <c r="N309" s="56"/>
      <c r="O309" s="56"/>
    </row>
    <row r="310" spans="1:16" s="9" customFormat="1" ht="16.5" customHeight="1" x14ac:dyDescent="0.2">
      <c r="A310" s="8"/>
      <c r="B310" s="171">
        <f>IF(DAY(OctSun1)=1,OctSun1+15,OctSun1+22)</f>
        <v>44851</v>
      </c>
      <c r="C310" s="63"/>
      <c r="D310" s="64">
        <f>IF(DAY(OctSun1)=1,OctSun1+16,OctSun1+23)</f>
        <v>44852</v>
      </c>
      <c r="E310" s="63"/>
      <c r="F310" s="49">
        <f>IF(DAY(OctSun1)=1,OctSun1+17,OctSun1+24)</f>
        <v>44853</v>
      </c>
      <c r="G310" s="50"/>
      <c r="H310" s="64">
        <f>IF(DAY(OctSun1)=1,OctSun1+18,OctSun1+25)</f>
        <v>44854</v>
      </c>
      <c r="I310" s="63"/>
      <c r="J310" s="64">
        <f>IF(DAY(OctSun1)=1,OctSun1+19,OctSun1+26)</f>
        <v>44855</v>
      </c>
      <c r="K310" s="63"/>
      <c r="L310" s="64">
        <f>IF(DAY(OctSun1)=1,OctSun1+20,OctSun1+27)</f>
        <v>44856</v>
      </c>
      <c r="M310" s="63"/>
      <c r="N310" s="64">
        <f>IF(DAY(OctSun1)=1,OctSun1+21,OctSun1+28)</f>
        <v>44857</v>
      </c>
      <c r="O310" s="63"/>
    </row>
    <row r="311" spans="1:16" ht="55.5" customHeight="1" x14ac:dyDescent="0.2">
      <c r="A311" s="5"/>
      <c r="B311" s="169"/>
      <c r="C311" s="61"/>
      <c r="D311" s="61"/>
      <c r="E311" s="61"/>
      <c r="F311" s="61" t="s">
        <v>110</v>
      </c>
      <c r="G311" s="61"/>
      <c r="H311" s="61"/>
      <c r="I311" s="61"/>
      <c r="J311" s="65" t="s">
        <v>111</v>
      </c>
      <c r="K311" s="61"/>
      <c r="L311" s="58"/>
      <c r="M311" s="58"/>
      <c r="N311" s="58" t="s">
        <v>112</v>
      </c>
      <c r="O311" s="58"/>
    </row>
    <row r="312" spans="1:16" ht="8.25" customHeight="1" x14ac:dyDescent="0.2">
      <c r="A312" s="5"/>
      <c r="B312" s="151"/>
      <c r="C312" s="59"/>
      <c r="D312" s="59"/>
      <c r="E312" s="59"/>
      <c r="F312" s="59"/>
      <c r="G312" s="59"/>
      <c r="H312" s="59"/>
      <c r="I312" s="59"/>
      <c r="J312" s="59"/>
      <c r="K312" s="59"/>
      <c r="L312" s="56"/>
      <c r="M312" s="56"/>
      <c r="N312" s="56"/>
      <c r="O312" s="56"/>
    </row>
    <row r="313" spans="1:16" s="9" customFormat="1" ht="16.5" customHeight="1" x14ac:dyDescent="0.2">
      <c r="A313" s="8"/>
      <c r="B313" s="171">
        <f>IF(DAY(OctSun1)=1,OctSun1+22,OctSun1+29)</f>
        <v>44858</v>
      </c>
      <c r="C313" s="63"/>
      <c r="D313" s="64">
        <f>IF(DAY(OctSun1)=1,OctSun1+23,OctSun1+30)</f>
        <v>44859</v>
      </c>
      <c r="E313" s="63"/>
      <c r="F313" s="64">
        <f>IF(DAY(OctSun1)=1,OctSun1+24,OctSun1+31)</f>
        <v>44860</v>
      </c>
      <c r="G313" s="63"/>
      <c r="H313" s="64">
        <f>IF(DAY(OctSun1)=1,OctSun1+25,OctSun1+32)</f>
        <v>44861</v>
      </c>
      <c r="I313" s="63"/>
      <c r="J313" s="64">
        <f>IF(DAY(OctSun1)=1,OctSun1+26,OctSun1+33)</f>
        <v>44862</v>
      </c>
      <c r="K313" s="63"/>
      <c r="L313" s="64">
        <f>IF(DAY(OctSun1)=1,OctSun1+27,OctSun1+34)</f>
        <v>44863</v>
      </c>
      <c r="M313" s="63"/>
      <c r="N313" s="64">
        <f>IF(DAY(OctSun1)=1,OctSun1+28,OctSun1+35)</f>
        <v>44864</v>
      </c>
      <c r="O313" s="63"/>
    </row>
    <row r="314" spans="1:16" ht="55.5" customHeight="1" x14ac:dyDescent="0.2">
      <c r="A314" s="5"/>
      <c r="B314" s="172" t="s">
        <v>113</v>
      </c>
      <c r="C314" s="109"/>
      <c r="D314" s="61"/>
      <c r="E314" s="61"/>
      <c r="F314" s="61"/>
      <c r="G314" s="61"/>
      <c r="H314" s="61"/>
      <c r="I314" s="61"/>
      <c r="J314" s="61"/>
      <c r="K314" s="61"/>
      <c r="L314" s="58" t="s">
        <v>114</v>
      </c>
      <c r="M314" s="58"/>
      <c r="N314" s="58"/>
      <c r="O314" s="58"/>
    </row>
    <row r="315" spans="1:16" ht="8.25" customHeight="1" x14ac:dyDescent="0.2">
      <c r="A315" s="5"/>
      <c r="B315" s="151"/>
      <c r="C315" s="59"/>
      <c r="D315" s="59"/>
      <c r="E315" s="59"/>
      <c r="F315" s="59"/>
      <c r="G315" s="59"/>
      <c r="H315" s="59"/>
      <c r="I315" s="59"/>
      <c r="J315" s="59"/>
      <c r="K315" s="59"/>
      <c r="L315" s="56"/>
      <c r="M315" s="56"/>
      <c r="N315" s="56"/>
      <c r="O315" s="56"/>
    </row>
    <row r="316" spans="1:16" s="9" customFormat="1" ht="16.5" customHeight="1" x14ac:dyDescent="0.2">
      <c r="A316" s="8"/>
      <c r="B316" s="171">
        <f>IF(DAY(OctSun1)=1,OctSun1+29,OctSun1+36)</f>
        <v>44865</v>
      </c>
      <c r="C316" s="63"/>
      <c r="D316" s="64">
        <f>IF(DAY(OctSun1)=1,OctSun1+30,OctSun1+37)</f>
        <v>44866</v>
      </c>
      <c r="E316" s="63"/>
      <c r="F316" s="64">
        <f>IF(DAY(OctSun1)=1,OctSun1+31,OctSun1+38)</f>
        <v>44867</v>
      </c>
      <c r="G316" s="63"/>
      <c r="H316" s="64">
        <f>IF(DAY(OctSun1)=1,OctSun1+32,OctSun1+39)</f>
        <v>44868</v>
      </c>
      <c r="I316" s="63"/>
      <c r="J316" s="64">
        <f>IF(DAY(OctSun1)=1,OctSun1+33,OctSun1+40)</f>
        <v>44869</v>
      </c>
      <c r="K316" s="63"/>
      <c r="L316" s="64">
        <f>IF(DAY(OctSun1)=1,OctSun1+34,OctSun1+41)</f>
        <v>44870</v>
      </c>
      <c r="M316" s="63"/>
      <c r="N316" s="64">
        <f>IF(DAY(OctSun1)=1,OctSun1+35,OctSun1+42)</f>
        <v>44871</v>
      </c>
      <c r="O316" s="63"/>
    </row>
    <row r="317" spans="1:16" ht="55.5" customHeight="1" x14ac:dyDescent="0.2">
      <c r="A317" s="5"/>
      <c r="B317" s="170" t="s">
        <v>115</v>
      </c>
      <c r="C317" s="103"/>
      <c r="D317" s="103"/>
      <c r="E317" s="103"/>
      <c r="F317" s="104"/>
      <c r="G317" s="104"/>
      <c r="H317" s="104"/>
      <c r="I317" s="104"/>
      <c r="J317" s="104"/>
      <c r="K317" s="104"/>
      <c r="L317" s="98"/>
      <c r="M317" s="98"/>
      <c r="N317" s="98"/>
      <c r="O317" s="98"/>
    </row>
    <row r="318" spans="1:16" ht="7.5" customHeight="1" x14ac:dyDescent="0.2">
      <c r="B318" s="143"/>
      <c r="C318" s="11"/>
      <c r="D318" s="11"/>
      <c r="E318" s="11"/>
      <c r="F318" s="11"/>
      <c r="G318" s="11"/>
      <c r="H318" s="11"/>
      <c r="I318" s="11"/>
      <c r="J318" s="11"/>
      <c r="K318" s="11"/>
      <c r="L318" s="11"/>
      <c r="M318" s="11"/>
      <c r="N318" s="11"/>
      <c r="O318" s="11"/>
    </row>
    <row r="319" spans="1:16" x14ac:dyDescent="0.2">
      <c r="B319" s="143"/>
      <c r="C319" s="11"/>
      <c r="D319" s="11"/>
      <c r="E319" s="11"/>
      <c r="F319" s="11"/>
      <c r="G319" s="11"/>
      <c r="H319" s="11"/>
      <c r="I319" s="11"/>
      <c r="J319" s="11"/>
      <c r="K319" s="11"/>
      <c r="L319" s="11"/>
      <c r="M319" s="11"/>
      <c r="N319" s="11"/>
      <c r="O319" s="11"/>
    </row>
    <row r="320" spans="1:16" ht="54" customHeight="1" x14ac:dyDescent="0.2">
      <c r="A320" s="108" t="str">
        <f>TEXT(DATE(CalendarYear,11,1),"[$-D07041E]mmmm")</f>
        <v>พฤศจิกายน</v>
      </c>
      <c r="B320" s="108"/>
      <c r="C320" s="108"/>
      <c r="D320" s="108"/>
      <c r="E320" s="108"/>
      <c r="F320" s="108"/>
      <c r="G320" s="108"/>
      <c r="H320" s="1"/>
      <c r="I320" s="2"/>
      <c r="J320" s="2"/>
      <c r="L320" s="107">
        <f>CalendarYear+543</f>
        <v>2565</v>
      </c>
      <c r="M320" s="107"/>
      <c r="N320" s="107"/>
      <c r="O320" s="107"/>
      <c r="P320" s="107"/>
    </row>
    <row r="321" spans="1:22" ht="19" customHeight="1" x14ac:dyDescent="0.3">
      <c r="A321" s="4"/>
      <c r="B321" s="141"/>
      <c r="C321" s="2"/>
      <c r="D321" s="2"/>
      <c r="E321" s="2"/>
      <c r="F321" s="2"/>
      <c r="G321" s="2"/>
      <c r="H321" s="2"/>
      <c r="I321" s="2"/>
      <c r="J321" s="2"/>
    </row>
    <row r="322" spans="1:22" ht="19" customHeight="1" x14ac:dyDescent="0.3">
      <c r="A322" s="4"/>
      <c r="B322" s="141"/>
      <c r="C322" s="2"/>
      <c r="D322" s="2"/>
      <c r="E322" s="2"/>
      <c r="F322" s="2"/>
      <c r="G322" s="2"/>
      <c r="H322" s="2"/>
      <c r="I322" s="2"/>
      <c r="J322" s="2"/>
    </row>
    <row r="323" spans="1:22" ht="19" customHeight="1" x14ac:dyDescent="0.3">
      <c r="A323" s="4"/>
      <c r="B323" s="141"/>
      <c r="C323" s="2"/>
      <c r="D323" s="2"/>
      <c r="E323" s="2"/>
      <c r="F323" s="2"/>
      <c r="G323" s="2"/>
      <c r="H323" s="2"/>
      <c r="I323" s="2"/>
      <c r="J323" s="2"/>
    </row>
    <row r="324" spans="1:22" ht="19" customHeight="1" x14ac:dyDescent="0.3">
      <c r="A324" s="4"/>
      <c r="B324" s="141"/>
      <c r="C324" s="2"/>
      <c r="D324" s="2"/>
      <c r="E324" s="2"/>
      <c r="F324" s="2"/>
      <c r="G324" s="2"/>
      <c r="H324" s="2"/>
      <c r="I324" s="2"/>
      <c r="J324" s="2"/>
    </row>
    <row r="325" spans="1:22" ht="19" customHeight="1" x14ac:dyDescent="0.3">
      <c r="A325" s="4"/>
      <c r="B325" s="141"/>
      <c r="C325" s="2"/>
      <c r="D325" s="2"/>
      <c r="E325" s="2"/>
      <c r="F325" s="2"/>
      <c r="G325" s="2"/>
      <c r="H325" s="2"/>
      <c r="I325" s="2"/>
      <c r="J325" s="2"/>
    </row>
    <row r="326" spans="1:22" ht="19" customHeight="1" x14ac:dyDescent="0.3">
      <c r="A326" s="4"/>
      <c r="B326" s="141"/>
      <c r="C326" s="2"/>
      <c r="D326" s="2"/>
      <c r="E326" s="2"/>
      <c r="F326" s="2"/>
      <c r="G326" s="2"/>
      <c r="H326" s="2"/>
      <c r="I326" s="2"/>
      <c r="J326" s="2"/>
    </row>
    <row r="327" spans="1:22" ht="19" customHeight="1" x14ac:dyDescent="0.3">
      <c r="A327" s="4"/>
      <c r="B327" s="141"/>
      <c r="C327" s="2"/>
      <c r="D327" s="2"/>
      <c r="E327" s="2"/>
      <c r="F327" s="2"/>
      <c r="G327" s="2"/>
      <c r="H327" s="2"/>
      <c r="I327" s="2"/>
      <c r="J327" s="2"/>
    </row>
    <row r="328" spans="1:22" ht="19" customHeight="1" x14ac:dyDescent="0.3">
      <c r="A328" s="4"/>
      <c r="B328" s="141"/>
      <c r="C328" s="2"/>
      <c r="D328" s="2"/>
      <c r="E328" s="2"/>
      <c r="F328" s="2"/>
      <c r="G328" s="2"/>
      <c r="H328" s="2"/>
      <c r="I328" s="2"/>
      <c r="J328" s="2"/>
    </row>
    <row r="329" spans="1:22" ht="19" customHeight="1" x14ac:dyDescent="0.3">
      <c r="A329" s="4"/>
      <c r="B329" s="141"/>
      <c r="C329" s="2"/>
      <c r="D329" s="2"/>
      <c r="E329" s="2"/>
      <c r="F329" s="2"/>
      <c r="G329" s="2"/>
      <c r="H329" s="2"/>
      <c r="I329" s="2"/>
      <c r="J329" s="2"/>
    </row>
    <row r="330" spans="1:22" ht="19" customHeight="1" x14ac:dyDescent="0.3">
      <c r="A330" s="4"/>
      <c r="B330" s="141"/>
      <c r="C330" s="2"/>
      <c r="D330" s="2"/>
      <c r="E330" s="2"/>
      <c r="F330" s="2"/>
      <c r="G330" s="2"/>
      <c r="H330" s="2"/>
      <c r="I330" s="2"/>
      <c r="J330" s="2"/>
    </row>
    <row r="331" spans="1:22" ht="19" customHeight="1" x14ac:dyDescent="0.2">
      <c r="A331" s="5"/>
      <c r="B331" s="142"/>
      <c r="C331" s="6"/>
      <c r="D331" s="6"/>
      <c r="E331" s="6"/>
      <c r="F331" s="6"/>
      <c r="G331" s="6"/>
      <c r="H331" s="6"/>
      <c r="I331" s="6"/>
      <c r="J331" s="6"/>
      <c r="K331" s="6"/>
      <c r="L331" s="6"/>
      <c r="M331" s="6"/>
      <c r="N331" s="6"/>
      <c r="O331" s="6"/>
    </row>
    <row r="332" spans="1:22" s="5" customFormat="1" ht="27" customHeight="1" x14ac:dyDescent="0.2">
      <c r="B332" s="160" t="s">
        <v>6</v>
      </c>
      <c r="C332" s="96"/>
      <c r="D332" s="96" t="s">
        <v>5</v>
      </c>
      <c r="E332" s="96"/>
      <c r="F332" s="96" t="s">
        <v>4</v>
      </c>
      <c r="G332" s="96"/>
      <c r="H332" s="96" t="s">
        <v>3</v>
      </c>
      <c r="I332" s="96"/>
      <c r="J332" s="96" t="s">
        <v>2</v>
      </c>
      <c r="K332" s="96"/>
      <c r="L332" s="96" t="s">
        <v>1</v>
      </c>
      <c r="M332" s="96"/>
      <c r="N332" s="96" t="s">
        <v>0</v>
      </c>
      <c r="O332" s="96"/>
      <c r="P332" s="3"/>
      <c r="Q332" s="7"/>
      <c r="U332" s="3"/>
      <c r="V332" s="3"/>
    </row>
    <row r="333" spans="1:22" s="8" customFormat="1" ht="16.5" customHeight="1" x14ac:dyDescent="0.2">
      <c r="B333" s="171">
        <f>IF(DAY(NovSun1)=1,NovSun1-6,NovSun1+1)</f>
        <v>44865</v>
      </c>
      <c r="C333" s="63"/>
      <c r="D333" s="64">
        <f>IF(DAY(NovSun1)=1,NovSun1-5,NovSun1+2)</f>
        <v>44866</v>
      </c>
      <c r="E333" s="63"/>
      <c r="F333" s="64">
        <f>IF(DAY(NovSun1)=1,NovSun1-4,NovSun1+3)</f>
        <v>44867</v>
      </c>
      <c r="G333" s="63"/>
      <c r="H333" s="64">
        <f>IF(DAY(NovSun1)=1,NovSun1-3,NovSun1+4)</f>
        <v>44868</v>
      </c>
      <c r="I333" s="63"/>
      <c r="J333" s="64">
        <f>IF(DAY(NovSun1)=1,NovSun1-2,NovSun1+5)</f>
        <v>44869</v>
      </c>
      <c r="K333" s="63"/>
      <c r="L333" s="64">
        <f>IF(DAY(NovSun1)=1,NovSun1-1,NovSun1+6)</f>
        <v>44870</v>
      </c>
      <c r="M333" s="63"/>
      <c r="N333" s="64">
        <f>IF(DAY(NovSun1)=1,NovSun1,NovSun1+7)</f>
        <v>44871</v>
      </c>
      <c r="O333" s="63"/>
      <c r="P333" s="9"/>
      <c r="Q333" s="9"/>
      <c r="U333" s="10"/>
      <c r="V333" s="9"/>
    </row>
    <row r="334" spans="1:22" s="11" customFormat="1" ht="55.5" customHeight="1" x14ac:dyDescent="0.2">
      <c r="A334" s="5"/>
      <c r="B334" s="169"/>
      <c r="C334" s="61"/>
      <c r="D334" s="61"/>
      <c r="E334" s="61"/>
      <c r="F334" s="61"/>
      <c r="G334" s="61"/>
      <c r="H334" s="61"/>
      <c r="I334" s="61"/>
      <c r="J334" s="61"/>
      <c r="K334" s="61"/>
      <c r="L334" s="58"/>
      <c r="M334" s="58"/>
      <c r="N334" s="58"/>
      <c r="O334" s="58"/>
    </row>
    <row r="335" spans="1:22" s="11" customFormat="1" ht="8.25" customHeight="1" x14ac:dyDescent="0.2">
      <c r="A335" s="5"/>
      <c r="B335" s="151"/>
      <c r="C335" s="59"/>
      <c r="D335" s="59"/>
      <c r="E335" s="59"/>
      <c r="F335" s="59"/>
      <c r="G335" s="59"/>
      <c r="H335" s="59"/>
      <c r="I335" s="59"/>
      <c r="J335" s="59"/>
      <c r="K335" s="59"/>
      <c r="L335" s="56"/>
      <c r="M335" s="56"/>
      <c r="N335" s="56"/>
      <c r="O335" s="56"/>
    </row>
    <row r="336" spans="1:22" s="9" customFormat="1" ht="16.5" customHeight="1" x14ac:dyDescent="0.2">
      <c r="A336" s="8"/>
      <c r="B336" s="171">
        <f>IF(DAY(NovSun1)=1,NovSun1+1,NovSun1+8)</f>
        <v>44872</v>
      </c>
      <c r="C336" s="63"/>
      <c r="D336" s="64">
        <f>IF(DAY(NovSun1)=1,NovSun1+2,NovSun1+9)</f>
        <v>44873</v>
      </c>
      <c r="E336" s="63"/>
      <c r="F336" s="64">
        <f>IF(DAY(NovSun1)=1,NovSun1+3,NovSun1+10)</f>
        <v>44874</v>
      </c>
      <c r="G336" s="63"/>
      <c r="H336" s="64">
        <f>IF(DAY(NovSun1)=1,NovSun1+4,NovSun1+11)</f>
        <v>44875</v>
      </c>
      <c r="I336" s="63"/>
      <c r="J336" s="64">
        <f>IF(DAY(NovSun1)=1,NovSun1+5,NovSun1+12)</f>
        <v>44876</v>
      </c>
      <c r="K336" s="63"/>
      <c r="L336" s="64">
        <f>IF(DAY(NovSun1)=1,NovSun1+6,NovSun1+13)</f>
        <v>44877</v>
      </c>
      <c r="M336" s="63"/>
      <c r="N336" s="64">
        <f>IF(DAY(NovSun1)=1,NovSun1+7,NovSun1+14)</f>
        <v>44878</v>
      </c>
      <c r="O336" s="63"/>
    </row>
    <row r="337" spans="1:16" ht="55.5" customHeight="1" x14ac:dyDescent="0.2">
      <c r="A337" s="5"/>
      <c r="B337" s="169"/>
      <c r="C337" s="61"/>
      <c r="D337" s="61"/>
      <c r="E337" s="61"/>
      <c r="F337" s="61"/>
      <c r="G337" s="61"/>
      <c r="H337" s="61"/>
      <c r="I337" s="61"/>
      <c r="J337" s="61"/>
      <c r="K337" s="61"/>
      <c r="L337" s="58"/>
      <c r="M337" s="58"/>
      <c r="N337" s="58"/>
      <c r="O337" s="58"/>
    </row>
    <row r="338" spans="1:16" ht="8.25" customHeight="1" x14ac:dyDescent="0.2">
      <c r="A338" s="5"/>
      <c r="B338" s="151"/>
      <c r="C338" s="59"/>
      <c r="D338" s="59"/>
      <c r="E338" s="59"/>
      <c r="F338" s="59"/>
      <c r="G338" s="59"/>
      <c r="H338" s="59"/>
      <c r="I338" s="59"/>
      <c r="J338" s="59"/>
      <c r="K338" s="59"/>
      <c r="L338" s="56"/>
      <c r="M338" s="56"/>
      <c r="N338" s="56"/>
      <c r="O338" s="56"/>
    </row>
    <row r="339" spans="1:16" s="9" customFormat="1" ht="16.5" customHeight="1" x14ac:dyDescent="0.2">
      <c r="A339" s="8"/>
      <c r="B339" s="171">
        <f>IF(DAY(NovSun1)=1,NovSun1+8,NovSun1+15)</f>
        <v>44879</v>
      </c>
      <c r="C339" s="63"/>
      <c r="D339" s="64">
        <f>IF(DAY(NovSun1)=1,NovSun1+9,NovSun1+16)</f>
        <v>44880</v>
      </c>
      <c r="E339" s="63"/>
      <c r="F339" s="64">
        <f>IF(DAY(NovSun1)=1,NovSun1+10,NovSun1+17)</f>
        <v>44881</v>
      </c>
      <c r="G339" s="63"/>
      <c r="H339" s="64">
        <f>IF(DAY(NovSun1)=1,NovSun1+11,NovSun1+18)</f>
        <v>44882</v>
      </c>
      <c r="I339" s="63"/>
      <c r="J339" s="64">
        <f>IF(DAY(NovSun1)=1,NovSun1+12,NovSun1+19)</f>
        <v>44883</v>
      </c>
      <c r="K339" s="63"/>
      <c r="L339" s="64">
        <f>IF(DAY(NovSun1)=1,NovSun1+13,NovSun1+20)</f>
        <v>44884</v>
      </c>
      <c r="M339" s="63"/>
      <c r="N339" s="64">
        <f>IF(DAY(NovSun1)=1,NovSun1+14,NovSun1+21)</f>
        <v>44885</v>
      </c>
      <c r="O339" s="63"/>
    </row>
    <row r="340" spans="1:16" ht="55.5" customHeight="1" x14ac:dyDescent="0.2">
      <c r="A340" s="5"/>
      <c r="B340" s="173" t="s">
        <v>116</v>
      </c>
      <c r="C340" s="61"/>
      <c r="D340" s="61"/>
      <c r="E340" s="61"/>
      <c r="F340" s="61"/>
      <c r="G340" s="61"/>
      <c r="H340" s="61"/>
      <c r="I340" s="61"/>
      <c r="J340" s="60"/>
      <c r="K340" s="61"/>
      <c r="L340" s="58" t="s">
        <v>117</v>
      </c>
      <c r="M340" s="58"/>
      <c r="N340" s="58" t="s">
        <v>118</v>
      </c>
      <c r="O340" s="58"/>
    </row>
    <row r="341" spans="1:16" ht="8.25" customHeight="1" x14ac:dyDescent="0.2">
      <c r="A341" s="5"/>
      <c r="B341" s="59"/>
      <c r="C341" s="59"/>
      <c r="D341" s="59"/>
      <c r="E341" s="59"/>
      <c r="F341" s="59"/>
      <c r="G341" s="59"/>
      <c r="H341" s="59"/>
      <c r="I341" s="59"/>
      <c r="J341" s="59"/>
      <c r="K341" s="59"/>
      <c r="L341" s="56"/>
      <c r="M341" s="56"/>
      <c r="N341" s="56"/>
      <c r="O341" s="56"/>
    </row>
    <row r="342" spans="1:16" s="9" customFormat="1" ht="16.5" customHeight="1" x14ac:dyDescent="0.2">
      <c r="A342" s="8"/>
      <c r="B342" s="62">
        <f>IF(DAY(NovSun1)=1,NovSun1+15,NovSun1+22)</f>
        <v>44886</v>
      </c>
      <c r="C342" s="63"/>
      <c r="D342" s="64">
        <f>IF(DAY(NovSun1)=1,NovSun1+16,NovSun1+23)</f>
        <v>44887</v>
      </c>
      <c r="E342" s="63"/>
      <c r="F342" s="64">
        <f>IF(DAY(NovSun1)=1,NovSun1+17,NovSun1+24)</f>
        <v>44888</v>
      </c>
      <c r="G342" s="63"/>
      <c r="H342" s="64">
        <f>IF(DAY(NovSun1)=1,NovSun1+18,NovSun1+25)</f>
        <v>44889</v>
      </c>
      <c r="I342" s="63"/>
      <c r="J342" s="64">
        <f>IF(DAY(NovSun1)=1,NovSun1+19,NovSun1+26)</f>
        <v>44890</v>
      </c>
      <c r="K342" s="63"/>
      <c r="L342" s="64">
        <f>IF(DAY(NovSun1)=1,NovSun1+20,NovSun1+27)</f>
        <v>44891</v>
      </c>
      <c r="M342" s="63"/>
      <c r="N342" s="64">
        <f>IF(DAY(NovSun1)=1,NovSun1+21,NovSun1+28)</f>
        <v>44892</v>
      </c>
      <c r="O342" s="63"/>
    </row>
    <row r="343" spans="1:16" ht="55.5" customHeight="1" x14ac:dyDescent="0.2">
      <c r="A343" s="5"/>
      <c r="B343" s="60"/>
      <c r="C343" s="61"/>
      <c r="D343" s="61"/>
      <c r="E343" s="61"/>
      <c r="F343" s="61"/>
      <c r="G343" s="61"/>
      <c r="H343" s="61"/>
      <c r="I343" s="61"/>
      <c r="J343" s="106" t="s">
        <v>119</v>
      </c>
      <c r="K343" s="61"/>
      <c r="L343" s="58" t="s">
        <v>120</v>
      </c>
      <c r="M343" s="58"/>
      <c r="N343" s="58" t="s">
        <v>121</v>
      </c>
      <c r="O343" s="105"/>
    </row>
    <row r="344" spans="1:16" ht="8.25" customHeight="1" x14ac:dyDescent="0.2">
      <c r="A344" s="5"/>
      <c r="B344" s="59"/>
      <c r="C344" s="59"/>
      <c r="D344" s="59"/>
      <c r="E344" s="59"/>
      <c r="F344" s="59"/>
      <c r="G344" s="59"/>
      <c r="H344" s="59"/>
      <c r="I344" s="59"/>
      <c r="J344" s="59"/>
      <c r="K344" s="59"/>
      <c r="L344" s="56"/>
      <c r="M344" s="56"/>
      <c r="N344" s="56"/>
      <c r="O344" s="56"/>
    </row>
    <row r="345" spans="1:16" s="9" customFormat="1" ht="16.5" customHeight="1" x14ac:dyDescent="0.2">
      <c r="A345" s="8"/>
      <c r="B345" s="62">
        <f>IF(DAY(NovSun1)=1,NovSun1+22,NovSun1+29)</f>
        <v>44893</v>
      </c>
      <c r="C345" s="63"/>
      <c r="D345" s="64">
        <f>IF(DAY(NovSun1)=1,NovSun1+23,NovSun1+30)</f>
        <v>44894</v>
      </c>
      <c r="E345" s="63"/>
      <c r="F345" s="64">
        <f>IF(DAY(NovSun1)=1,NovSun1+24,NovSun1+31)</f>
        <v>44895</v>
      </c>
      <c r="G345" s="63"/>
      <c r="H345" s="64">
        <f>IF(DAY(NovSun1)=1,NovSun1+25,NovSun1+32)</f>
        <v>44896</v>
      </c>
      <c r="I345" s="63"/>
      <c r="J345" s="64">
        <f>IF(DAY(NovSun1)=1,NovSun1+26,NovSun1+33)</f>
        <v>44897</v>
      </c>
      <c r="K345" s="63"/>
      <c r="L345" s="64">
        <f>IF(DAY(NovSun1)=1,NovSun1+27,NovSun1+34)</f>
        <v>44898</v>
      </c>
      <c r="M345" s="63"/>
      <c r="N345" s="64">
        <f>IF(DAY(NovSun1)=1,NovSun1+28,NovSun1+35)</f>
        <v>44899</v>
      </c>
      <c r="O345" s="63"/>
    </row>
    <row r="346" spans="1:16" ht="55.5" customHeight="1" x14ac:dyDescent="0.2">
      <c r="A346" s="5"/>
      <c r="B346" s="60"/>
      <c r="C346" s="61"/>
      <c r="D346" s="61"/>
      <c r="E346" s="61"/>
      <c r="F346" s="61"/>
      <c r="G346" s="61"/>
      <c r="H346" s="61"/>
      <c r="I346" s="61"/>
      <c r="J346" s="61"/>
      <c r="K346" s="61"/>
      <c r="L346" s="58"/>
      <c r="M346" s="58"/>
      <c r="N346" s="58"/>
      <c r="O346" s="58"/>
    </row>
    <row r="347" spans="1:16" ht="8.25" customHeight="1" x14ac:dyDescent="0.2">
      <c r="A347" s="5"/>
      <c r="B347" s="59"/>
      <c r="C347" s="59"/>
      <c r="D347" s="59"/>
      <c r="E347" s="59"/>
      <c r="F347" s="59"/>
      <c r="G347" s="59"/>
      <c r="H347" s="59"/>
      <c r="I347" s="59"/>
      <c r="J347" s="59"/>
      <c r="K347" s="59"/>
      <c r="L347" s="56"/>
      <c r="M347" s="56"/>
      <c r="N347" s="56"/>
      <c r="O347" s="56"/>
    </row>
    <row r="348" spans="1:16" s="13" customFormat="1" ht="16.5" customHeight="1" x14ac:dyDescent="0.2">
      <c r="A348" s="12"/>
      <c r="B348" s="55">
        <f>IF(DAY(NovSun1)=1,NovSun1+29,NovSun1+36)</f>
        <v>44900</v>
      </c>
      <c r="C348" s="54"/>
      <c r="D348" s="53">
        <f>IF(DAY(NovSun1)=1,NovSun1+30,NovSun1+37)</f>
        <v>44901</v>
      </c>
      <c r="E348" s="54"/>
      <c r="F348" s="53">
        <f>IF(DAY(NovSun1)=1,NovSun1+31,NovSun1+38)</f>
        <v>44902</v>
      </c>
      <c r="G348" s="54"/>
      <c r="H348" s="53">
        <f>IF(DAY(NovSun1)=1,NovSun1+32,NovSun1+39)</f>
        <v>44903</v>
      </c>
      <c r="I348" s="54"/>
      <c r="J348" s="53">
        <f>IF(DAY(NovSun1)=1,NovSun1+33,NovSun1+40)</f>
        <v>44904</v>
      </c>
      <c r="K348" s="54"/>
      <c r="L348" s="53">
        <f>IF(DAY(NovSun1)=1,NovSun1+34,NovSun1+41)</f>
        <v>44905</v>
      </c>
      <c r="M348" s="54"/>
      <c r="N348" s="53">
        <f>IF(DAY(NovSun1)=1,NovSun1+35,NovSun1+42)</f>
        <v>44906</v>
      </c>
      <c r="O348" s="54"/>
    </row>
    <row r="349" spans="1:16" ht="55.5" customHeight="1" x14ac:dyDescent="0.2">
      <c r="A349" s="5"/>
      <c r="B349" s="102"/>
      <c r="C349" s="103"/>
      <c r="D349" s="103"/>
      <c r="E349" s="103"/>
      <c r="F349" s="104"/>
      <c r="G349" s="104"/>
      <c r="H349" s="104"/>
      <c r="I349" s="104"/>
      <c r="J349" s="104"/>
      <c r="K349" s="104"/>
      <c r="L349" s="98"/>
      <c r="M349" s="98"/>
      <c r="N349" s="98"/>
      <c r="O349" s="98"/>
    </row>
    <row r="350" spans="1:16" ht="7.5" customHeight="1" x14ac:dyDescent="0.2">
      <c r="B350" s="143"/>
      <c r="C350" s="11"/>
      <c r="D350" s="11"/>
      <c r="E350" s="11"/>
      <c r="F350" s="11"/>
      <c r="G350" s="11"/>
      <c r="H350" s="11"/>
      <c r="I350" s="11"/>
      <c r="J350" s="11"/>
      <c r="K350" s="11"/>
      <c r="L350" s="11"/>
      <c r="M350" s="11"/>
      <c r="N350" s="11"/>
      <c r="O350" s="11"/>
    </row>
    <row r="352" spans="1:16" ht="54" customHeight="1" x14ac:dyDescent="0.2">
      <c r="A352" s="101" t="str">
        <f>TEXT(DATE(CalendarYear,12,1),"[$-D07041E]mmmm")</f>
        <v>ธันวาคม</v>
      </c>
      <c r="B352" s="101"/>
      <c r="C352" s="101"/>
      <c r="D352" s="101"/>
      <c r="E352" s="101"/>
      <c r="F352" s="101"/>
      <c r="G352" s="101"/>
      <c r="H352" s="1"/>
      <c r="I352" s="2"/>
      <c r="J352" s="2"/>
      <c r="L352" s="99">
        <f>CalendarYear+543</f>
        <v>2565</v>
      </c>
      <c r="M352" s="99"/>
      <c r="N352" s="99"/>
      <c r="O352" s="99"/>
      <c r="P352" s="99"/>
    </row>
    <row r="353" spans="1:22" ht="18.75" customHeight="1" x14ac:dyDescent="0.3">
      <c r="A353" s="4"/>
      <c r="B353" s="141"/>
      <c r="C353" s="2"/>
      <c r="D353" s="2"/>
      <c r="E353" s="2"/>
      <c r="F353" s="2"/>
      <c r="G353" s="2"/>
      <c r="H353" s="2"/>
      <c r="I353" s="2"/>
      <c r="J353" s="2"/>
      <c r="L353" s="100"/>
      <c r="M353" s="100"/>
      <c r="N353" s="100"/>
      <c r="O353" s="100"/>
    </row>
    <row r="354" spans="1:22" ht="18.75" customHeight="1" x14ac:dyDescent="0.3">
      <c r="A354" s="4"/>
      <c r="B354" s="141"/>
      <c r="C354" s="2"/>
      <c r="D354" s="2"/>
      <c r="E354" s="2"/>
      <c r="F354" s="2"/>
      <c r="G354" s="2"/>
      <c r="H354" s="2"/>
      <c r="I354" s="2"/>
      <c r="J354" s="2"/>
    </row>
    <row r="355" spans="1:22" ht="18.75" customHeight="1" x14ac:dyDescent="0.3">
      <c r="A355" s="4"/>
      <c r="B355" s="141"/>
      <c r="C355" s="2"/>
      <c r="D355" s="2"/>
      <c r="E355" s="2"/>
      <c r="F355" s="2"/>
      <c r="G355" s="2"/>
      <c r="H355" s="2"/>
      <c r="I355" s="2"/>
      <c r="J355" s="2"/>
    </row>
    <row r="356" spans="1:22" ht="18.75" customHeight="1" x14ac:dyDescent="0.3">
      <c r="A356" s="4"/>
      <c r="B356" s="141"/>
      <c r="C356" s="2"/>
      <c r="D356" s="2"/>
      <c r="E356" s="2"/>
      <c r="F356" s="2"/>
      <c r="G356" s="2"/>
      <c r="H356" s="2"/>
      <c r="I356" s="2"/>
      <c r="J356" s="2"/>
    </row>
    <row r="357" spans="1:22" ht="18.75" customHeight="1" x14ac:dyDescent="0.3">
      <c r="A357" s="4"/>
      <c r="B357" s="141"/>
      <c r="C357" s="2"/>
      <c r="D357" s="2"/>
      <c r="E357" s="2"/>
      <c r="F357" s="2"/>
      <c r="G357" s="2"/>
      <c r="H357" s="2"/>
      <c r="I357" s="2"/>
      <c r="J357" s="2"/>
    </row>
    <row r="358" spans="1:22" ht="18.75" customHeight="1" x14ac:dyDescent="0.3">
      <c r="A358" s="4"/>
      <c r="B358" s="141"/>
      <c r="C358" s="2"/>
      <c r="D358" s="2"/>
      <c r="E358" s="2"/>
      <c r="F358" s="2"/>
      <c r="G358" s="2"/>
      <c r="H358" s="2"/>
      <c r="I358" s="2"/>
      <c r="J358" s="2"/>
    </row>
    <row r="359" spans="1:22" ht="18.75" customHeight="1" x14ac:dyDescent="0.3">
      <c r="A359" s="4"/>
      <c r="B359" s="141"/>
      <c r="C359" s="2"/>
      <c r="D359" s="2"/>
      <c r="E359" s="2"/>
      <c r="F359" s="2"/>
      <c r="G359" s="2"/>
      <c r="H359" s="2"/>
      <c r="I359" s="2"/>
      <c r="J359" s="2"/>
    </row>
    <row r="360" spans="1:22" ht="18.75" customHeight="1" x14ac:dyDescent="0.3">
      <c r="A360" s="4"/>
      <c r="B360" s="141"/>
      <c r="C360" s="2"/>
      <c r="D360" s="2"/>
      <c r="E360" s="2"/>
      <c r="F360" s="2"/>
      <c r="G360" s="2"/>
      <c r="H360" s="2"/>
      <c r="I360" s="2"/>
      <c r="J360" s="2"/>
    </row>
    <row r="361" spans="1:22" ht="18.75" customHeight="1" x14ac:dyDescent="0.3">
      <c r="A361" s="4"/>
      <c r="B361" s="141"/>
      <c r="C361" s="2"/>
      <c r="D361" s="2"/>
      <c r="E361" s="2"/>
      <c r="F361" s="2"/>
      <c r="G361" s="2"/>
      <c r="H361" s="2"/>
      <c r="I361" s="2"/>
      <c r="J361" s="2"/>
    </row>
    <row r="362" spans="1:22" ht="18.75" customHeight="1" x14ac:dyDescent="0.3">
      <c r="A362" s="4"/>
      <c r="B362" s="141"/>
      <c r="C362" s="2"/>
      <c r="D362" s="2"/>
      <c r="E362" s="2"/>
      <c r="F362" s="2"/>
      <c r="G362" s="2"/>
      <c r="H362" s="2"/>
      <c r="I362" s="2"/>
      <c r="J362" s="2"/>
    </row>
    <row r="363" spans="1:22" ht="18.75" customHeight="1" x14ac:dyDescent="0.2">
      <c r="A363" s="5"/>
      <c r="B363" s="142"/>
      <c r="C363" s="6"/>
      <c r="D363" s="6"/>
      <c r="E363" s="6"/>
      <c r="F363" s="6"/>
      <c r="G363" s="6"/>
      <c r="H363" s="6"/>
      <c r="I363" s="6"/>
      <c r="J363" s="6"/>
      <c r="K363" s="6"/>
      <c r="L363" s="6"/>
      <c r="M363" s="6"/>
      <c r="N363" s="6"/>
      <c r="O363" s="6"/>
    </row>
    <row r="364" spans="1:22" s="5" customFormat="1" ht="27" customHeight="1" x14ac:dyDescent="0.2">
      <c r="B364" s="140" t="s">
        <v>6</v>
      </c>
      <c r="C364" s="97"/>
      <c r="D364" s="96" t="s">
        <v>5</v>
      </c>
      <c r="E364" s="96"/>
      <c r="F364" s="96" t="s">
        <v>4</v>
      </c>
      <c r="G364" s="96"/>
      <c r="H364" s="96" t="s">
        <v>3</v>
      </c>
      <c r="I364" s="96"/>
      <c r="J364" s="96" t="s">
        <v>2</v>
      </c>
      <c r="K364" s="96"/>
      <c r="L364" s="96" t="s">
        <v>1</v>
      </c>
      <c r="M364" s="96"/>
      <c r="N364" s="96" t="s">
        <v>0</v>
      </c>
      <c r="O364" s="96"/>
      <c r="P364" s="3"/>
      <c r="Q364" s="7"/>
      <c r="U364" s="3"/>
      <c r="V364" s="3"/>
    </row>
    <row r="365" spans="1:22" s="8" customFormat="1" ht="16.5" customHeight="1" x14ac:dyDescent="0.2">
      <c r="B365" s="146">
        <f>IF(DAY(DecSun1)=1,DecSun1-6,DecSun1+1)</f>
        <v>44893</v>
      </c>
      <c r="C365" s="86"/>
      <c r="D365" s="87">
        <f>IF(DAY(DecSun1)=1,DecSun1-5,DecSun1+2)</f>
        <v>44894</v>
      </c>
      <c r="E365" s="86"/>
      <c r="F365" s="87">
        <f>IF(DAY(DecSun1)=1,DecSun1-4,DecSun1+3)</f>
        <v>44895</v>
      </c>
      <c r="G365" s="86"/>
      <c r="H365" s="87">
        <f>IF(DAY(DecSun1)=1,DecSun1-3,DecSun1+4)</f>
        <v>44896</v>
      </c>
      <c r="I365" s="86"/>
      <c r="J365" s="87">
        <f>IF(DAY(DecSun1)=1,DecSun1-2,DecSun1+5)</f>
        <v>44897</v>
      </c>
      <c r="K365" s="86"/>
      <c r="L365" s="87">
        <f>IF(DAY(DecSun1)=1,DecSun1-1,DecSun1+6)</f>
        <v>44898</v>
      </c>
      <c r="M365" s="86"/>
      <c r="N365" s="87">
        <f>IF(DAY(DecSun1)=1,DecSun1,DecSun1+7)</f>
        <v>44899</v>
      </c>
      <c r="O365" s="86"/>
      <c r="P365" s="9"/>
      <c r="Q365" s="9"/>
      <c r="U365" s="10"/>
      <c r="V365" s="9"/>
    </row>
    <row r="366" spans="1:22" s="11" customFormat="1" ht="55.5" customHeight="1" x14ac:dyDescent="0.2">
      <c r="A366" s="5"/>
      <c r="B366" s="147"/>
      <c r="C366" s="57"/>
      <c r="D366" s="57"/>
      <c r="E366" s="57"/>
      <c r="F366" s="57"/>
      <c r="G366" s="57"/>
      <c r="H366" s="57" t="s">
        <v>122</v>
      </c>
      <c r="I366" s="57"/>
      <c r="J366" s="57"/>
      <c r="K366" s="57"/>
      <c r="L366" s="94" t="s">
        <v>123</v>
      </c>
      <c r="M366" s="94"/>
      <c r="N366" s="94" t="s">
        <v>124</v>
      </c>
      <c r="O366" s="94"/>
    </row>
    <row r="367" spans="1:22" s="11" customFormat="1" ht="8.25" customHeight="1" x14ac:dyDescent="0.2">
      <c r="A367" s="5"/>
      <c r="B367" s="151"/>
      <c r="C367" s="59"/>
      <c r="D367" s="59"/>
      <c r="E367" s="59"/>
      <c r="F367" s="59"/>
      <c r="G367" s="59"/>
      <c r="H367" s="59"/>
      <c r="I367" s="59"/>
      <c r="J367" s="59"/>
      <c r="K367" s="59"/>
      <c r="L367" s="56"/>
      <c r="M367" s="56"/>
      <c r="N367" s="56"/>
      <c r="O367" s="56"/>
    </row>
    <row r="368" spans="1:22" s="9" customFormat="1" ht="16.5" customHeight="1" x14ac:dyDescent="0.2">
      <c r="A368" s="8"/>
      <c r="B368" s="146">
        <f>IF(DAY(DecSun1)=1,DecSun1+1,DecSun1+8)</f>
        <v>44900</v>
      </c>
      <c r="C368" s="86"/>
      <c r="D368" s="87">
        <f>IF(DAY(DecSun1)=1,DecSun1+2,DecSun1+9)</f>
        <v>44901</v>
      </c>
      <c r="E368" s="86"/>
      <c r="F368" s="87">
        <f>IF(DAY(DecSun1)=1,DecSun1+3,DecSun1+10)</f>
        <v>44902</v>
      </c>
      <c r="G368" s="86"/>
      <c r="H368" s="87">
        <f>IF(DAY(DecSun1)=1,DecSun1+4,DecSun1+11)</f>
        <v>44903</v>
      </c>
      <c r="I368" s="86"/>
      <c r="J368" s="87">
        <f>IF(DAY(DecSun1)=1,DecSun1+5,DecSun1+12)</f>
        <v>44904</v>
      </c>
      <c r="K368" s="86"/>
      <c r="L368" s="87">
        <f>IF(DAY(DecSun1)=1,DecSun1+6,DecSun1+13)</f>
        <v>44905</v>
      </c>
      <c r="M368" s="86"/>
      <c r="N368" s="88">
        <f>IF(DAY(DecSun1)=1,DecSun1+7,DecSun1+14)</f>
        <v>44906</v>
      </c>
      <c r="O368" s="89"/>
    </row>
    <row r="369" spans="1:15" ht="55.5" customHeight="1" x14ac:dyDescent="0.2">
      <c r="A369" s="5"/>
      <c r="B369" s="174" t="s">
        <v>125</v>
      </c>
      <c r="C369" s="57"/>
      <c r="D369" s="57"/>
      <c r="E369" s="57"/>
      <c r="F369" s="57" t="s">
        <v>126</v>
      </c>
      <c r="G369" s="57"/>
      <c r="H369" s="57"/>
      <c r="I369" s="57"/>
      <c r="J369" s="57" t="s">
        <v>127</v>
      </c>
      <c r="K369" s="57"/>
      <c r="L369" s="94" t="s">
        <v>128</v>
      </c>
      <c r="M369" s="94"/>
      <c r="N369" s="94"/>
      <c r="O369" s="94"/>
    </row>
    <row r="370" spans="1:15" ht="8.25" customHeight="1" x14ac:dyDescent="0.2">
      <c r="A370" s="5"/>
      <c r="B370" s="148"/>
      <c r="C370" s="149"/>
      <c r="D370" s="59"/>
      <c r="E370" s="59"/>
      <c r="F370" s="59"/>
      <c r="G370" s="59"/>
      <c r="H370" s="59"/>
      <c r="I370" s="59"/>
      <c r="J370" s="59"/>
      <c r="K370" s="59"/>
      <c r="L370" s="56"/>
      <c r="M370" s="56"/>
      <c r="N370" s="56"/>
      <c r="O370" s="56"/>
    </row>
    <row r="371" spans="1:15" s="13" customFormat="1" ht="16.5" customHeight="1" x14ac:dyDescent="0.2">
      <c r="A371" s="12"/>
      <c r="B371" s="175">
        <f>IF(DAY(DecSun1)=1,DecSun1+8,DecSun1+15)</f>
        <v>44907</v>
      </c>
      <c r="C371" s="51"/>
      <c r="D371" s="52">
        <f>IF(DAY(DecSun1)=1,DecSun1+9,DecSun1+16)</f>
        <v>44908</v>
      </c>
      <c r="E371" s="51"/>
      <c r="F371" s="52">
        <f>IF(DAY(DecSun1)=1,DecSun1+10,DecSun1+17)</f>
        <v>44909</v>
      </c>
      <c r="G371" s="51"/>
      <c r="H371" s="18">
        <f>IF(DAY(DecSun1)=1,DecSun1+11,DecSun1+18)</f>
        <v>44910</v>
      </c>
      <c r="I371" s="19"/>
      <c r="J371" s="18">
        <f>IF(DAY(DecSun1)=1,DecSun1+12,DecSun1+19)</f>
        <v>44911</v>
      </c>
      <c r="K371" s="19"/>
      <c r="L371" s="18">
        <f>IF(DAY(DecSun1)=1,DecSun1+13,DecSun1+20)</f>
        <v>44912</v>
      </c>
      <c r="M371" s="19"/>
      <c r="N371" s="52">
        <f>IF(DAY(DecSun1)=1,DecSun1+14,DecSun1+21)</f>
        <v>44913</v>
      </c>
      <c r="O371" s="51"/>
    </row>
    <row r="372" spans="1:15" ht="55.5" customHeight="1" x14ac:dyDescent="0.2">
      <c r="A372" s="5"/>
      <c r="B372" s="176" t="s">
        <v>129</v>
      </c>
      <c r="C372" s="95"/>
      <c r="D372" s="57"/>
      <c r="E372" s="57"/>
      <c r="F372" s="57"/>
      <c r="G372" s="57"/>
      <c r="H372" s="57" t="s">
        <v>130</v>
      </c>
      <c r="I372" s="57"/>
      <c r="J372" s="57" t="s">
        <v>131</v>
      </c>
      <c r="K372" s="57"/>
      <c r="L372" s="94"/>
      <c r="M372" s="94"/>
      <c r="N372" s="94"/>
      <c r="O372" s="94"/>
    </row>
    <row r="373" spans="1:15" ht="8.25" customHeight="1" x14ac:dyDescent="0.2">
      <c r="A373" s="5"/>
      <c r="B373" s="151"/>
      <c r="C373" s="59"/>
      <c r="D373" s="59"/>
      <c r="E373" s="59"/>
      <c r="F373" s="59"/>
      <c r="G373" s="59"/>
      <c r="H373" s="59"/>
      <c r="I373" s="59"/>
      <c r="J373" s="59"/>
      <c r="K373" s="59"/>
      <c r="L373" s="85"/>
      <c r="M373" s="85"/>
      <c r="N373" s="85"/>
      <c r="O373" s="85"/>
    </row>
    <row r="374" spans="1:15" s="9" customFormat="1" ht="16.5" customHeight="1" x14ac:dyDescent="0.2">
      <c r="A374" s="8"/>
      <c r="B374" s="146">
        <f>IF(DAY(DecSun1)=1,DecSun1+15,DecSun1+22)</f>
        <v>44914</v>
      </c>
      <c r="C374" s="86"/>
      <c r="D374" s="87">
        <f>IF(DAY(DecSun1)=1,DecSun1+16,DecSun1+23)</f>
        <v>44915</v>
      </c>
      <c r="E374" s="86"/>
      <c r="F374" s="87">
        <f>IF(DAY(DecSun1)=1,DecSun1+17,DecSun1+24)</f>
        <v>44916</v>
      </c>
      <c r="G374" s="86"/>
      <c r="H374" s="87">
        <f>IF(DAY(DecSun1)=1,DecSun1+18,DecSun1+25)</f>
        <v>44917</v>
      </c>
      <c r="I374" s="86"/>
      <c r="J374" s="87">
        <f>IF(DAY(DecSun1)=1,DecSun1+19,DecSun1+26)</f>
        <v>44918</v>
      </c>
      <c r="K374" s="86"/>
      <c r="L374" s="87">
        <f>IF(DAY(DecSun1)=1,DecSun1+20,DecSun1+27)</f>
        <v>44919</v>
      </c>
      <c r="M374" s="86"/>
      <c r="N374" s="87">
        <f>IF(DAY(DecSun1)=1,DecSun1+21,DecSun1+28)</f>
        <v>44920</v>
      </c>
      <c r="O374" s="86"/>
    </row>
    <row r="375" spans="1:15" ht="55.5" customHeight="1" x14ac:dyDescent="0.2">
      <c r="A375" s="5"/>
      <c r="B375" s="147"/>
      <c r="C375" s="57"/>
      <c r="D375" s="57"/>
      <c r="E375" s="57"/>
      <c r="F375" s="57"/>
      <c r="G375" s="57"/>
      <c r="H375" s="57" t="s">
        <v>132</v>
      </c>
      <c r="I375" s="57"/>
      <c r="J375" s="57"/>
      <c r="K375" s="57"/>
      <c r="L375" s="94" t="s">
        <v>133</v>
      </c>
      <c r="M375" s="94"/>
      <c r="N375" s="94" t="s">
        <v>134</v>
      </c>
      <c r="O375" s="94"/>
    </row>
    <row r="376" spans="1:15" ht="8.25" customHeight="1" x14ac:dyDescent="0.2">
      <c r="A376" s="5"/>
      <c r="B376" s="151"/>
      <c r="C376" s="59"/>
      <c r="D376" s="59"/>
      <c r="E376" s="59"/>
      <c r="F376" s="59"/>
      <c r="G376" s="59"/>
      <c r="H376" s="59"/>
      <c r="I376" s="59"/>
      <c r="J376" s="59"/>
      <c r="K376" s="59"/>
      <c r="L376" s="56"/>
      <c r="M376" s="56"/>
      <c r="N376" s="56"/>
      <c r="O376" s="56"/>
    </row>
    <row r="377" spans="1:15" s="9" customFormat="1" ht="16.5" customHeight="1" x14ac:dyDescent="0.2">
      <c r="A377" s="8"/>
      <c r="B377" s="146">
        <f>IF(DAY(DecSun1)=1,DecSun1+22,DecSun1+29)</f>
        <v>44921</v>
      </c>
      <c r="C377" s="86"/>
      <c r="D377" s="87">
        <f>IF(DAY(DecSun1)=1,DecSun1+23,DecSun1+30)</f>
        <v>44922</v>
      </c>
      <c r="E377" s="86"/>
      <c r="F377" s="87">
        <f>IF(DAY(DecSun1)=1,DecSun1+24,DecSun1+31)</f>
        <v>44923</v>
      </c>
      <c r="G377" s="86"/>
      <c r="H377" s="87">
        <f>IF(DAY(DecSun1)=1,DecSun1+25,DecSun1+32)</f>
        <v>44924</v>
      </c>
      <c r="I377" s="86"/>
      <c r="J377" s="87">
        <f>IF(DAY(DecSun1)=1,DecSun1+26,DecSun1+33)</f>
        <v>44925</v>
      </c>
      <c r="K377" s="86"/>
      <c r="L377" s="87">
        <f>IF(DAY(DecSun1)=1,DecSun1+27,DecSun1+34)</f>
        <v>44926</v>
      </c>
      <c r="M377" s="86"/>
      <c r="N377" s="87">
        <f>IF(DAY(DecSun1)=1,DecSun1+28,DecSun1+35)</f>
        <v>44927</v>
      </c>
      <c r="O377" s="86"/>
    </row>
    <row r="378" spans="1:15" ht="55.5" customHeight="1" x14ac:dyDescent="0.2">
      <c r="A378" s="5"/>
      <c r="B378" s="147" t="s">
        <v>135</v>
      </c>
      <c r="C378" s="57"/>
      <c r="D378" s="57"/>
      <c r="E378" s="57"/>
      <c r="F378" s="57" t="s">
        <v>136</v>
      </c>
      <c r="G378" s="57"/>
      <c r="H378" s="57"/>
      <c r="I378" s="57"/>
      <c r="J378" s="57"/>
      <c r="K378" s="57"/>
      <c r="L378" s="94" t="s">
        <v>137</v>
      </c>
      <c r="M378" s="94"/>
      <c r="N378" s="94"/>
      <c r="O378" s="94"/>
    </row>
    <row r="379" spans="1:15" ht="8.25" customHeight="1" x14ac:dyDescent="0.2">
      <c r="A379" s="5"/>
      <c r="B379" s="151"/>
      <c r="C379" s="59"/>
      <c r="D379" s="59"/>
      <c r="E379" s="59"/>
      <c r="F379" s="59"/>
      <c r="G379" s="59"/>
      <c r="H379" s="59"/>
      <c r="I379" s="59"/>
      <c r="J379" s="59"/>
      <c r="K379" s="59"/>
      <c r="L379" s="56"/>
      <c r="M379" s="56"/>
      <c r="N379" s="56"/>
      <c r="O379" s="56"/>
    </row>
    <row r="380" spans="1:15" s="9" customFormat="1" ht="16.5" customHeight="1" x14ac:dyDescent="0.2">
      <c r="A380" s="8"/>
      <c r="B380" s="146">
        <f>IF(DAY(DecSun1)=1,DecSun1+29,DecSun1+36)</f>
        <v>44928</v>
      </c>
      <c r="C380" s="86"/>
      <c r="D380" s="87">
        <f>IF(DAY(DecSun1)=1,DecSun1+30,DecSun1+37)</f>
        <v>44929</v>
      </c>
      <c r="E380" s="86"/>
      <c r="F380" s="87">
        <f>IF(DAY(DecSun1)=1,DecSun1+31,DecSun1+38)</f>
        <v>44930</v>
      </c>
      <c r="G380" s="86"/>
      <c r="H380" s="87">
        <f>IF(DAY(DecSun1)=1,DecSun1+32,DecSun1+39)</f>
        <v>44931</v>
      </c>
      <c r="I380" s="86"/>
      <c r="J380" s="87">
        <f>IF(DAY(DecSun1)=1,DecSun1+33,DecSun1+40)</f>
        <v>44932</v>
      </c>
      <c r="K380" s="86"/>
      <c r="L380" s="87">
        <f>IF(DAY(DecSun1)=1,DecSun1+34,DecSun1+41)</f>
        <v>44933</v>
      </c>
      <c r="M380" s="86"/>
      <c r="N380" s="87">
        <f>IF(DAY(DecSun1)=1,DecSun1+35,DecSun1+42)</f>
        <v>44934</v>
      </c>
      <c r="O380" s="86"/>
    </row>
    <row r="381" spans="1:15" s="32" customFormat="1" ht="55.5" customHeight="1" x14ac:dyDescent="0.2">
      <c r="A381" s="31"/>
      <c r="B381" s="152"/>
      <c r="C381" s="92"/>
      <c r="D381" s="92"/>
      <c r="E381" s="92"/>
      <c r="F381" s="93"/>
      <c r="G381" s="93"/>
      <c r="H381" s="93"/>
      <c r="I381" s="93"/>
      <c r="J381" s="93"/>
      <c r="K381" s="93"/>
      <c r="L381" s="91"/>
      <c r="M381" s="91"/>
      <c r="N381" s="91"/>
      <c r="O381" s="91"/>
    </row>
    <row r="382" spans="1:15" ht="7.5" customHeight="1" x14ac:dyDescent="0.2">
      <c r="B382" s="143"/>
      <c r="C382" s="11"/>
      <c r="D382" s="11"/>
      <c r="E382" s="11"/>
      <c r="F382" s="11"/>
      <c r="G382" s="11"/>
      <c r="H382" s="11"/>
      <c r="I382" s="11"/>
      <c r="J382" s="11"/>
      <c r="K382" s="11"/>
      <c r="L382" s="11"/>
      <c r="M382" s="11"/>
      <c r="N382" s="11"/>
      <c r="O382" s="11"/>
    </row>
  </sheetData>
  <mergeCells count="1480">
    <mergeCell ref="J377:K377"/>
    <mergeCell ref="L377:M377"/>
    <mergeCell ref="N377:O377"/>
    <mergeCell ref="B380:C380"/>
    <mergeCell ref="D380:E380"/>
    <mergeCell ref="F380:G380"/>
    <mergeCell ref="H380:I380"/>
    <mergeCell ref="J380:K380"/>
    <mergeCell ref="L380:M380"/>
    <mergeCell ref="N380:O380"/>
    <mergeCell ref="J22:K22"/>
    <mergeCell ref="L22:M22"/>
    <mergeCell ref="N22:O22"/>
    <mergeCell ref="B19:C19"/>
    <mergeCell ref="D19:E19"/>
    <mergeCell ref="F19:G19"/>
    <mergeCell ref="H19:I19"/>
    <mergeCell ref="F371:G371"/>
    <mergeCell ref="N371:O371"/>
    <mergeCell ref="B374:C374"/>
    <mergeCell ref="D374:E374"/>
    <mergeCell ref="F374:G374"/>
    <mergeCell ref="H374:I374"/>
    <mergeCell ref="J374:K374"/>
    <mergeCell ref="L374:M374"/>
    <mergeCell ref="N374:O374"/>
    <mergeCell ref="B31:C31"/>
    <mergeCell ref="D31:E31"/>
    <mergeCell ref="F31:G31"/>
    <mergeCell ref="J31:K31"/>
    <mergeCell ref="B28:C28"/>
    <mergeCell ref="D28:E28"/>
    <mergeCell ref="L2:P2"/>
    <mergeCell ref="L14:M14"/>
    <mergeCell ref="N14:O14"/>
    <mergeCell ref="B16:C16"/>
    <mergeCell ref="D16:E16"/>
    <mergeCell ref="F16:G16"/>
    <mergeCell ref="H16:I16"/>
    <mergeCell ref="J16:K16"/>
    <mergeCell ref="L16:M16"/>
    <mergeCell ref="N16:O16"/>
    <mergeCell ref="B14:C14"/>
    <mergeCell ref="D14:E14"/>
    <mergeCell ref="F14:G14"/>
    <mergeCell ref="H14:I14"/>
    <mergeCell ref="J14:K14"/>
    <mergeCell ref="J28:K28"/>
    <mergeCell ref="L28:M28"/>
    <mergeCell ref="N28:O28"/>
    <mergeCell ref="L19:M19"/>
    <mergeCell ref="N19:O19"/>
    <mergeCell ref="B22:C22"/>
    <mergeCell ref="D22:E22"/>
    <mergeCell ref="F22:G22"/>
    <mergeCell ref="H22:I22"/>
    <mergeCell ref="B15:C15"/>
    <mergeCell ref="D15:E15"/>
    <mergeCell ref="F15:G15"/>
    <mergeCell ref="H15:I15"/>
    <mergeCell ref="J15:K15"/>
    <mergeCell ref="L15:M15"/>
    <mergeCell ref="A34:G34"/>
    <mergeCell ref="A2:G2"/>
    <mergeCell ref="D29:E29"/>
    <mergeCell ref="B29:C29"/>
    <mergeCell ref="N29:O29"/>
    <mergeCell ref="L29:M29"/>
    <mergeCell ref="J29:K29"/>
    <mergeCell ref="F29:G29"/>
    <mergeCell ref="D23:E23"/>
    <mergeCell ref="B23:C23"/>
    <mergeCell ref="N26:O26"/>
    <mergeCell ref="L26:M26"/>
    <mergeCell ref="J26:K26"/>
    <mergeCell ref="F26:G26"/>
    <mergeCell ref="D26:E26"/>
    <mergeCell ref="B26:C26"/>
    <mergeCell ref="N23:O23"/>
    <mergeCell ref="L23:M23"/>
    <mergeCell ref="J23:K23"/>
    <mergeCell ref="J19:K19"/>
    <mergeCell ref="F23:G23"/>
    <mergeCell ref="J25:K25"/>
    <mergeCell ref="L25:M25"/>
    <mergeCell ref="N25:O25"/>
    <mergeCell ref="B25:C25"/>
    <mergeCell ref="D25:E25"/>
    <mergeCell ref="F25:G25"/>
    <mergeCell ref="L31:M31"/>
    <mergeCell ref="N31:O31"/>
    <mergeCell ref="B17:C17"/>
    <mergeCell ref="N17:O17"/>
    <mergeCell ref="L17:M17"/>
    <mergeCell ref="L47:M47"/>
    <mergeCell ref="N47:O47"/>
    <mergeCell ref="B48:C48"/>
    <mergeCell ref="D48:E48"/>
    <mergeCell ref="F48:G48"/>
    <mergeCell ref="J48:K48"/>
    <mergeCell ref="L48:M48"/>
    <mergeCell ref="N48:O48"/>
    <mergeCell ref="B47:C47"/>
    <mergeCell ref="D47:E47"/>
    <mergeCell ref="F47:G47"/>
    <mergeCell ref="J47:K47"/>
    <mergeCell ref="B45:C45"/>
    <mergeCell ref="D45:E45"/>
    <mergeCell ref="F45:G45"/>
    <mergeCell ref="J45:K45"/>
    <mergeCell ref="L45:M45"/>
    <mergeCell ref="N45:O45"/>
    <mergeCell ref="L34:P34"/>
    <mergeCell ref="L35:O35"/>
    <mergeCell ref="N56:O56"/>
    <mergeCell ref="B57:C57"/>
    <mergeCell ref="D57:E57"/>
    <mergeCell ref="F57:G57"/>
    <mergeCell ref="J57:K57"/>
    <mergeCell ref="L57:M57"/>
    <mergeCell ref="N57:O57"/>
    <mergeCell ref="B56:C56"/>
    <mergeCell ref="D56:E56"/>
    <mergeCell ref="F56:G56"/>
    <mergeCell ref="J56:K56"/>
    <mergeCell ref="L53:M53"/>
    <mergeCell ref="N53:O53"/>
    <mergeCell ref="B54:C54"/>
    <mergeCell ref="D54:E54"/>
    <mergeCell ref="F54:G54"/>
    <mergeCell ref="J54:K54"/>
    <mergeCell ref="L54:M54"/>
    <mergeCell ref="N54:O54"/>
    <mergeCell ref="B53:C53"/>
    <mergeCell ref="D53:E53"/>
    <mergeCell ref="F53:G53"/>
    <mergeCell ref="J53:K53"/>
    <mergeCell ref="L50:M50"/>
    <mergeCell ref="N50:O50"/>
    <mergeCell ref="B51:C51"/>
    <mergeCell ref="D51:E51"/>
    <mergeCell ref="F51:G51"/>
    <mergeCell ref="J51:K51"/>
    <mergeCell ref="L51:M51"/>
    <mergeCell ref="L65:P65"/>
    <mergeCell ref="B78:C78"/>
    <mergeCell ref="D78:E78"/>
    <mergeCell ref="F78:G78"/>
    <mergeCell ref="J78:K78"/>
    <mergeCell ref="L78:M78"/>
    <mergeCell ref="N78:O78"/>
    <mergeCell ref="A65:G65"/>
    <mergeCell ref="B62:C62"/>
    <mergeCell ref="D62:E62"/>
    <mergeCell ref="F62:G62"/>
    <mergeCell ref="J62:K62"/>
    <mergeCell ref="L59:M59"/>
    <mergeCell ref="N59:O59"/>
    <mergeCell ref="B60:C60"/>
    <mergeCell ref="D60:E60"/>
    <mergeCell ref="F60:G60"/>
    <mergeCell ref="J60:K60"/>
    <mergeCell ref="L60:M60"/>
    <mergeCell ref="N60:O60"/>
    <mergeCell ref="B59:C59"/>
    <mergeCell ref="D59:E59"/>
    <mergeCell ref="F59:G59"/>
    <mergeCell ref="J59:K59"/>
    <mergeCell ref="L83:M83"/>
    <mergeCell ref="N83:O83"/>
    <mergeCell ref="B84:C84"/>
    <mergeCell ref="D84:E84"/>
    <mergeCell ref="F84:G84"/>
    <mergeCell ref="H84:I84"/>
    <mergeCell ref="J84:K84"/>
    <mergeCell ref="L84:M84"/>
    <mergeCell ref="N84:O84"/>
    <mergeCell ref="B83:C83"/>
    <mergeCell ref="D83:E83"/>
    <mergeCell ref="F83:G83"/>
    <mergeCell ref="J83:K83"/>
    <mergeCell ref="L80:M80"/>
    <mergeCell ref="N80:O80"/>
    <mergeCell ref="B81:C81"/>
    <mergeCell ref="D81:E81"/>
    <mergeCell ref="F81:G81"/>
    <mergeCell ref="J81:K81"/>
    <mergeCell ref="L81:M81"/>
    <mergeCell ref="N81:O81"/>
    <mergeCell ref="B80:C80"/>
    <mergeCell ref="D80:E80"/>
    <mergeCell ref="F80:G80"/>
    <mergeCell ref="J80:K80"/>
    <mergeCell ref="H89:I89"/>
    <mergeCell ref="J89:K89"/>
    <mergeCell ref="L86:M86"/>
    <mergeCell ref="N86:O86"/>
    <mergeCell ref="B87:C87"/>
    <mergeCell ref="D87:E87"/>
    <mergeCell ref="F87:G87"/>
    <mergeCell ref="H87:I87"/>
    <mergeCell ref="J87:K87"/>
    <mergeCell ref="L87:M87"/>
    <mergeCell ref="N87:O87"/>
    <mergeCell ref="B86:C86"/>
    <mergeCell ref="D86:E86"/>
    <mergeCell ref="F86:G86"/>
    <mergeCell ref="H86:I86"/>
    <mergeCell ref="J86:K86"/>
    <mergeCell ref="B88:C88"/>
    <mergeCell ref="D88:E88"/>
    <mergeCell ref="F88:G88"/>
    <mergeCell ref="H88:I88"/>
    <mergeCell ref="J88:K88"/>
    <mergeCell ref="L88:M88"/>
    <mergeCell ref="N88:O88"/>
    <mergeCell ref="L95:M95"/>
    <mergeCell ref="N95:O95"/>
    <mergeCell ref="L98:P98"/>
    <mergeCell ref="B110:C110"/>
    <mergeCell ref="D110:E110"/>
    <mergeCell ref="F110:G110"/>
    <mergeCell ref="H110:I110"/>
    <mergeCell ref="J110:K110"/>
    <mergeCell ref="L110:M110"/>
    <mergeCell ref="N110:O110"/>
    <mergeCell ref="A98:G98"/>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F115:G115"/>
    <mergeCell ref="H115:I115"/>
    <mergeCell ref="J115:K115"/>
    <mergeCell ref="L112:M112"/>
    <mergeCell ref="N112:O112"/>
    <mergeCell ref="B113:C113"/>
    <mergeCell ref="D113:E113"/>
    <mergeCell ref="F113:G113"/>
    <mergeCell ref="H113:I113"/>
    <mergeCell ref="J113:K113"/>
    <mergeCell ref="L113:M113"/>
    <mergeCell ref="N113:O113"/>
    <mergeCell ref="B112:C112"/>
    <mergeCell ref="D112:E112"/>
    <mergeCell ref="F112:G112"/>
    <mergeCell ref="H112:I112"/>
    <mergeCell ref="J112:K112"/>
    <mergeCell ref="L121:M121"/>
    <mergeCell ref="N121:O121"/>
    <mergeCell ref="B122:C122"/>
    <mergeCell ref="D122:E122"/>
    <mergeCell ref="F122:G122"/>
    <mergeCell ref="H122:I122"/>
    <mergeCell ref="J122:K122"/>
    <mergeCell ref="L122:M122"/>
    <mergeCell ref="N122:O122"/>
    <mergeCell ref="B121:C121"/>
    <mergeCell ref="D121:E121"/>
    <mergeCell ref="F121:G121"/>
    <mergeCell ref="H121:I121"/>
    <mergeCell ref="J121:K121"/>
    <mergeCell ref="L118:M118"/>
    <mergeCell ref="B119:C119"/>
    <mergeCell ref="D119:E119"/>
    <mergeCell ref="F119:G119"/>
    <mergeCell ref="H119:I119"/>
    <mergeCell ref="J119:K119"/>
    <mergeCell ref="L119:M119"/>
    <mergeCell ref="N119:O119"/>
    <mergeCell ref="B118:C118"/>
    <mergeCell ref="D118:E118"/>
    <mergeCell ref="F118:G118"/>
    <mergeCell ref="H118:I118"/>
    <mergeCell ref="J118:K118"/>
    <mergeCell ref="B120:C120"/>
    <mergeCell ref="D120:E120"/>
    <mergeCell ref="F120:G120"/>
    <mergeCell ref="H120:I120"/>
    <mergeCell ref="L127:M127"/>
    <mergeCell ref="N127:O127"/>
    <mergeCell ref="L130:P130"/>
    <mergeCell ref="B141:C141"/>
    <mergeCell ref="D141:E141"/>
    <mergeCell ref="F141:G141"/>
    <mergeCell ref="H141:I141"/>
    <mergeCell ref="J141:K141"/>
    <mergeCell ref="L141:M141"/>
    <mergeCell ref="N141:O141"/>
    <mergeCell ref="A130:G130"/>
    <mergeCell ref="B127:C127"/>
    <mergeCell ref="D127:E127"/>
    <mergeCell ref="F127:G127"/>
    <mergeCell ref="H127:I127"/>
    <mergeCell ref="J127:K127"/>
    <mergeCell ref="L124:M124"/>
    <mergeCell ref="N124:O124"/>
    <mergeCell ref="B125:C125"/>
    <mergeCell ref="D125:E125"/>
    <mergeCell ref="F125:G125"/>
    <mergeCell ref="H125:I125"/>
    <mergeCell ref="J125:K125"/>
    <mergeCell ref="L125:M125"/>
    <mergeCell ref="N125:O125"/>
    <mergeCell ref="B124:C124"/>
    <mergeCell ref="D124:E124"/>
    <mergeCell ref="F124:G124"/>
    <mergeCell ref="H124:I124"/>
    <mergeCell ref="J124:K124"/>
    <mergeCell ref="D146:E146"/>
    <mergeCell ref="F146:G146"/>
    <mergeCell ref="H146:I146"/>
    <mergeCell ref="J146:K146"/>
    <mergeCell ref="L143:M143"/>
    <mergeCell ref="N143:O143"/>
    <mergeCell ref="B144:C144"/>
    <mergeCell ref="D144:E144"/>
    <mergeCell ref="F144:G144"/>
    <mergeCell ref="H144:I144"/>
    <mergeCell ref="J144:K144"/>
    <mergeCell ref="L144:M144"/>
    <mergeCell ref="N144:O144"/>
    <mergeCell ref="B143:C143"/>
    <mergeCell ref="D143:E143"/>
    <mergeCell ref="F143:G143"/>
    <mergeCell ref="H143:I143"/>
    <mergeCell ref="J143:K143"/>
    <mergeCell ref="L149:M149"/>
    <mergeCell ref="N149:O149"/>
    <mergeCell ref="B150:C150"/>
    <mergeCell ref="D150:E150"/>
    <mergeCell ref="F150:G150"/>
    <mergeCell ref="H150:I150"/>
    <mergeCell ref="J150:K150"/>
    <mergeCell ref="L150:M150"/>
    <mergeCell ref="N150:O150"/>
    <mergeCell ref="B149:C149"/>
    <mergeCell ref="D149:E149"/>
    <mergeCell ref="F149:G149"/>
    <mergeCell ref="H149:I149"/>
    <mergeCell ref="J149:K149"/>
    <mergeCell ref="B151:C151"/>
    <mergeCell ref="D151:E151"/>
    <mergeCell ref="F151:G151"/>
    <mergeCell ref="H151:I151"/>
    <mergeCell ref="L155:M155"/>
    <mergeCell ref="N155:O155"/>
    <mergeCell ref="B156:C156"/>
    <mergeCell ref="D156:E156"/>
    <mergeCell ref="F156:G156"/>
    <mergeCell ref="H156:I156"/>
    <mergeCell ref="J156:K156"/>
    <mergeCell ref="L156:M156"/>
    <mergeCell ref="N156:O156"/>
    <mergeCell ref="B155:C155"/>
    <mergeCell ref="D155:E155"/>
    <mergeCell ref="F155:G155"/>
    <mergeCell ref="H155:I155"/>
    <mergeCell ref="J155:K155"/>
    <mergeCell ref="L152:M152"/>
    <mergeCell ref="N152:O152"/>
    <mergeCell ref="B153:C153"/>
    <mergeCell ref="D153:E153"/>
    <mergeCell ref="F153:G153"/>
    <mergeCell ref="H153:I153"/>
    <mergeCell ref="J153:K153"/>
    <mergeCell ref="L153:M153"/>
    <mergeCell ref="N153:O153"/>
    <mergeCell ref="B152:C152"/>
    <mergeCell ref="D152:E152"/>
    <mergeCell ref="F152:G152"/>
    <mergeCell ref="H152:I152"/>
    <mergeCell ref="J152:K152"/>
    <mergeCell ref="F178:G178"/>
    <mergeCell ref="H178:I178"/>
    <mergeCell ref="J178:K178"/>
    <mergeCell ref="L175:M175"/>
    <mergeCell ref="N175:O175"/>
    <mergeCell ref="B176:C176"/>
    <mergeCell ref="D176:E176"/>
    <mergeCell ref="F176:G176"/>
    <mergeCell ref="H176:I176"/>
    <mergeCell ref="L176:M176"/>
    <mergeCell ref="N176:O176"/>
    <mergeCell ref="B175:C175"/>
    <mergeCell ref="D175:E175"/>
    <mergeCell ref="F175:G175"/>
    <mergeCell ref="H175:I175"/>
    <mergeCell ref="J175:K176"/>
    <mergeCell ref="L158:M158"/>
    <mergeCell ref="N158:O158"/>
    <mergeCell ref="L161:P161"/>
    <mergeCell ref="B173:C173"/>
    <mergeCell ref="D173:E173"/>
    <mergeCell ref="F173:G173"/>
    <mergeCell ref="H173:I173"/>
    <mergeCell ref="J173:K173"/>
    <mergeCell ref="L173:M173"/>
    <mergeCell ref="N173:O173"/>
    <mergeCell ref="A161:G161"/>
    <mergeCell ref="B158:C158"/>
    <mergeCell ref="D158:E158"/>
    <mergeCell ref="F158:G158"/>
    <mergeCell ref="H158:I158"/>
    <mergeCell ref="J158:K158"/>
    <mergeCell ref="L183:M183"/>
    <mergeCell ref="N183:O183"/>
    <mergeCell ref="B184:C184"/>
    <mergeCell ref="D184:E184"/>
    <mergeCell ref="F184:G184"/>
    <mergeCell ref="H184:I184"/>
    <mergeCell ref="J184:K184"/>
    <mergeCell ref="L184:M184"/>
    <mergeCell ref="N184:O184"/>
    <mergeCell ref="B183:C183"/>
    <mergeCell ref="D183:E183"/>
    <mergeCell ref="F183:G183"/>
    <mergeCell ref="H183:I183"/>
    <mergeCell ref="J183:K183"/>
    <mergeCell ref="B182:C182"/>
    <mergeCell ref="D182:E182"/>
    <mergeCell ref="F182:G182"/>
    <mergeCell ref="H182:I182"/>
    <mergeCell ref="L189:M189"/>
    <mergeCell ref="N189:O189"/>
    <mergeCell ref="L192:P192"/>
    <mergeCell ref="B204:C204"/>
    <mergeCell ref="D204:E204"/>
    <mergeCell ref="F204:G204"/>
    <mergeCell ref="H204:I204"/>
    <mergeCell ref="J204:K204"/>
    <mergeCell ref="L204:M204"/>
    <mergeCell ref="N204:O204"/>
    <mergeCell ref="A192:G192"/>
    <mergeCell ref="B189:C189"/>
    <mergeCell ref="D189:E189"/>
    <mergeCell ref="F189:G189"/>
    <mergeCell ref="H189:I189"/>
    <mergeCell ref="J189:K189"/>
    <mergeCell ref="L186:M186"/>
    <mergeCell ref="N186:O186"/>
    <mergeCell ref="B187:C187"/>
    <mergeCell ref="D187:E187"/>
    <mergeCell ref="F187:G187"/>
    <mergeCell ref="H187:I187"/>
    <mergeCell ref="J187:K187"/>
    <mergeCell ref="L187:M187"/>
    <mergeCell ref="N187:O187"/>
    <mergeCell ref="B186:C186"/>
    <mergeCell ref="D186:E186"/>
    <mergeCell ref="F186:G186"/>
    <mergeCell ref="H186:I186"/>
    <mergeCell ref="J186:K186"/>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B209:C210"/>
    <mergeCell ref="L215:M215"/>
    <mergeCell ref="N215:O215"/>
    <mergeCell ref="B216:C216"/>
    <mergeCell ref="D216:E216"/>
    <mergeCell ref="F216:G216"/>
    <mergeCell ref="H216:I216"/>
    <mergeCell ref="J216:K216"/>
    <mergeCell ref="L216:M216"/>
    <mergeCell ref="N216:O216"/>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B214:C214"/>
    <mergeCell ref="D214:E214"/>
    <mergeCell ref="F214:G214"/>
    <mergeCell ref="H214:I214"/>
    <mergeCell ref="L221:M221"/>
    <mergeCell ref="N221:O221"/>
    <mergeCell ref="L224:P224"/>
    <mergeCell ref="B236:C236"/>
    <mergeCell ref="D236:E236"/>
    <mergeCell ref="F236:G236"/>
    <mergeCell ref="H236:I236"/>
    <mergeCell ref="J236:K236"/>
    <mergeCell ref="L236:M236"/>
    <mergeCell ref="N236:O236"/>
    <mergeCell ref="A224:G224"/>
    <mergeCell ref="B221:C221"/>
    <mergeCell ref="D221:E221"/>
    <mergeCell ref="F221:G221"/>
    <mergeCell ref="H221:I221"/>
    <mergeCell ref="J221:K221"/>
    <mergeCell ref="L218:M218"/>
    <mergeCell ref="N218:O218"/>
    <mergeCell ref="B219:C219"/>
    <mergeCell ref="D219:E219"/>
    <mergeCell ref="F219:G219"/>
    <mergeCell ref="H219:I219"/>
    <mergeCell ref="J219:K219"/>
    <mergeCell ref="L219:M219"/>
    <mergeCell ref="N219:O219"/>
    <mergeCell ref="B218:C218"/>
    <mergeCell ref="D218:E218"/>
    <mergeCell ref="F218:G218"/>
    <mergeCell ref="H218:I218"/>
    <mergeCell ref="J218:K218"/>
    <mergeCell ref="F241:G241"/>
    <mergeCell ref="H241:I241"/>
    <mergeCell ref="J241:K241"/>
    <mergeCell ref="L238:M238"/>
    <mergeCell ref="N238:O238"/>
    <mergeCell ref="B239:C239"/>
    <mergeCell ref="D239:E239"/>
    <mergeCell ref="F239:G239"/>
    <mergeCell ref="H239:I239"/>
    <mergeCell ref="J239:K239"/>
    <mergeCell ref="L239:M239"/>
    <mergeCell ref="N239:O239"/>
    <mergeCell ref="B238:C238"/>
    <mergeCell ref="D238:E238"/>
    <mergeCell ref="F238:G238"/>
    <mergeCell ref="H238:I238"/>
    <mergeCell ref="J238:K238"/>
    <mergeCell ref="L244:M244"/>
    <mergeCell ref="N244:O244"/>
    <mergeCell ref="B245:C245"/>
    <mergeCell ref="D245:E245"/>
    <mergeCell ref="F245:G245"/>
    <mergeCell ref="H245:I245"/>
    <mergeCell ref="J245:K245"/>
    <mergeCell ref="L245:M245"/>
    <mergeCell ref="N245:O245"/>
    <mergeCell ref="B244:C244"/>
    <mergeCell ref="D244:E244"/>
    <mergeCell ref="F244:G244"/>
    <mergeCell ref="H244:I244"/>
    <mergeCell ref="J244:K244"/>
    <mergeCell ref="B246:C246"/>
    <mergeCell ref="D246:E246"/>
    <mergeCell ref="F246:G246"/>
    <mergeCell ref="H246:I246"/>
    <mergeCell ref="J246:K246"/>
    <mergeCell ref="L246:M246"/>
    <mergeCell ref="N246:O246"/>
    <mergeCell ref="L253:M253"/>
    <mergeCell ref="N253:O253"/>
    <mergeCell ref="L256:P256"/>
    <mergeCell ref="B268:C268"/>
    <mergeCell ref="D268:E268"/>
    <mergeCell ref="F268:G268"/>
    <mergeCell ref="H268:I268"/>
    <mergeCell ref="J268:K268"/>
    <mergeCell ref="L268:M268"/>
    <mergeCell ref="N268:O268"/>
    <mergeCell ref="A256:G256"/>
    <mergeCell ref="B253:C253"/>
    <mergeCell ref="D253:E253"/>
    <mergeCell ref="F253:G253"/>
    <mergeCell ref="H253:I253"/>
    <mergeCell ref="J253:K253"/>
    <mergeCell ref="L250:M250"/>
    <mergeCell ref="N250:O250"/>
    <mergeCell ref="B251:C251"/>
    <mergeCell ref="D251:E251"/>
    <mergeCell ref="F251:G251"/>
    <mergeCell ref="H251:I251"/>
    <mergeCell ref="J251:K251"/>
    <mergeCell ref="L251:M251"/>
    <mergeCell ref="N251:O251"/>
    <mergeCell ref="B250:C250"/>
    <mergeCell ref="D250:E250"/>
    <mergeCell ref="F250:G250"/>
    <mergeCell ref="H250:I250"/>
    <mergeCell ref="J250:K250"/>
    <mergeCell ref="F273:G273"/>
    <mergeCell ref="H273:I273"/>
    <mergeCell ref="J273:K273"/>
    <mergeCell ref="L270:M270"/>
    <mergeCell ref="N270:O270"/>
    <mergeCell ref="B271:C271"/>
    <mergeCell ref="D271:E271"/>
    <mergeCell ref="F271:G271"/>
    <mergeCell ref="H271:I271"/>
    <mergeCell ref="J271:K271"/>
    <mergeCell ref="L271:M271"/>
    <mergeCell ref="N271:O271"/>
    <mergeCell ref="B270:C270"/>
    <mergeCell ref="D270:E270"/>
    <mergeCell ref="F270:G270"/>
    <mergeCell ref="H270:I270"/>
    <mergeCell ref="J270:K270"/>
    <mergeCell ref="L276:M276"/>
    <mergeCell ref="N276:O276"/>
    <mergeCell ref="B277:C277"/>
    <mergeCell ref="D277:E277"/>
    <mergeCell ref="F277:G277"/>
    <mergeCell ref="H277:I277"/>
    <mergeCell ref="J277:K277"/>
    <mergeCell ref="L277:M277"/>
    <mergeCell ref="N277:O277"/>
    <mergeCell ref="B276:C276"/>
    <mergeCell ref="D276:E276"/>
    <mergeCell ref="F276:G276"/>
    <mergeCell ref="H276:I276"/>
    <mergeCell ref="J276:K276"/>
    <mergeCell ref="B278:C278"/>
    <mergeCell ref="D278:E278"/>
    <mergeCell ref="F278:G278"/>
    <mergeCell ref="H278:I278"/>
    <mergeCell ref="J278:K278"/>
    <mergeCell ref="L278:M278"/>
    <mergeCell ref="N278:O278"/>
    <mergeCell ref="L285:M285"/>
    <mergeCell ref="N285:O285"/>
    <mergeCell ref="L288:P288"/>
    <mergeCell ref="B300:C300"/>
    <mergeCell ref="D300:E300"/>
    <mergeCell ref="F300:G300"/>
    <mergeCell ref="H300:I300"/>
    <mergeCell ref="J300:K300"/>
    <mergeCell ref="L300:M300"/>
    <mergeCell ref="N300:O300"/>
    <mergeCell ref="A288:G288"/>
    <mergeCell ref="B285:C285"/>
    <mergeCell ref="D285:E285"/>
    <mergeCell ref="F285:G285"/>
    <mergeCell ref="H285:I285"/>
    <mergeCell ref="J285:K285"/>
    <mergeCell ref="L282:M282"/>
    <mergeCell ref="N282:O282"/>
    <mergeCell ref="B283:C283"/>
    <mergeCell ref="D283:E283"/>
    <mergeCell ref="F283:G283"/>
    <mergeCell ref="H283:I283"/>
    <mergeCell ref="J283:K283"/>
    <mergeCell ref="L283:M283"/>
    <mergeCell ref="N283:O283"/>
    <mergeCell ref="B282:C282"/>
    <mergeCell ref="D282:E282"/>
    <mergeCell ref="F282:G282"/>
    <mergeCell ref="H282:I282"/>
    <mergeCell ref="J282:K282"/>
    <mergeCell ref="F305:G305"/>
    <mergeCell ref="H305:I305"/>
    <mergeCell ref="J305:K305"/>
    <mergeCell ref="L302:M302"/>
    <mergeCell ref="N302:O302"/>
    <mergeCell ref="B303:C303"/>
    <mergeCell ref="D303:E303"/>
    <mergeCell ref="F303:G303"/>
    <mergeCell ref="H303:I303"/>
    <mergeCell ref="J303:K303"/>
    <mergeCell ref="L303:M303"/>
    <mergeCell ref="N303:O303"/>
    <mergeCell ref="B302:C302"/>
    <mergeCell ref="D302:E302"/>
    <mergeCell ref="F302:G302"/>
    <mergeCell ref="H302:I302"/>
    <mergeCell ref="J302:K302"/>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B310:C310"/>
    <mergeCell ref="D310:E310"/>
    <mergeCell ref="H310:I310"/>
    <mergeCell ref="J310:K310"/>
    <mergeCell ref="L310:M310"/>
    <mergeCell ref="N310:O310"/>
    <mergeCell ref="L317:M317"/>
    <mergeCell ref="N317:O317"/>
    <mergeCell ref="L320:P320"/>
    <mergeCell ref="B332:C332"/>
    <mergeCell ref="D332:E332"/>
    <mergeCell ref="F332:G332"/>
    <mergeCell ref="H332:I332"/>
    <mergeCell ref="J332:K332"/>
    <mergeCell ref="L332:M332"/>
    <mergeCell ref="N332:O332"/>
    <mergeCell ref="A320:G320"/>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F337:G337"/>
    <mergeCell ref="H337:I337"/>
    <mergeCell ref="J337:K337"/>
    <mergeCell ref="L334:M334"/>
    <mergeCell ref="N334:O334"/>
    <mergeCell ref="B335:C335"/>
    <mergeCell ref="D335:E335"/>
    <mergeCell ref="F335:G335"/>
    <mergeCell ref="H335:I335"/>
    <mergeCell ref="J335:K335"/>
    <mergeCell ref="L335:M335"/>
    <mergeCell ref="N335:O335"/>
    <mergeCell ref="B334:C334"/>
    <mergeCell ref="D334:E334"/>
    <mergeCell ref="F334:G334"/>
    <mergeCell ref="H334:I334"/>
    <mergeCell ref="J334:K334"/>
    <mergeCell ref="L343:M343"/>
    <mergeCell ref="N343:O343"/>
    <mergeCell ref="B344:C344"/>
    <mergeCell ref="D344:E344"/>
    <mergeCell ref="F344:G344"/>
    <mergeCell ref="H344:I344"/>
    <mergeCell ref="J344:K344"/>
    <mergeCell ref="L344:M344"/>
    <mergeCell ref="N344:O344"/>
    <mergeCell ref="B343:C343"/>
    <mergeCell ref="D343:E343"/>
    <mergeCell ref="F343:G343"/>
    <mergeCell ref="H343:I343"/>
    <mergeCell ref="J343:K343"/>
    <mergeCell ref="L340:M340"/>
    <mergeCell ref="N340:O340"/>
    <mergeCell ref="B341:C341"/>
    <mergeCell ref="D341:E341"/>
    <mergeCell ref="F341:G341"/>
    <mergeCell ref="H341:I341"/>
    <mergeCell ref="J341:K341"/>
    <mergeCell ref="L341:M341"/>
    <mergeCell ref="N341:O341"/>
    <mergeCell ref="B340:C340"/>
    <mergeCell ref="D340:E340"/>
    <mergeCell ref="F340:G340"/>
    <mergeCell ref="H340:I340"/>
    <mergeCell ref="J340:K340"/>
    <mergeCell ref="B342:C342"/>
    <mergeCell ref="D342:E342"/>
    <mergeCell ref="F342:G342"/>
    <mergeCell ref="H342:I342"/>
    <mergeCell ref="L349:M349"/>
    <mergeCell ref="N349:O349"/>
    <mergeCell ref="L352:P352"/>
    <mergeCell ref="L353:O353"/>
    <mergeCell ref="A352:G352"/>
    <mergeCell ref="B349:C349"/>
    <mergeCell ref="D349:E349"/>
    <mergeCell ref="F349:G349"/>
    <mergeCell ref="H349:I349"/>
    <mergeCell ref="J349:K349"/>
    <mergeCell ref="L346:M346"/>
    <mergeCell ref="N346:O346"/>
    <mergeCell ref="B347:C347"/>
    <mergeCell ref="D347:E347"/>
    <mergeCell ref="F347:G347"/>
    <mergeCell ref="H347:I347"/>
    <mergeCell ref="J347:K347"/>
    <mergeCell ref="L347:M347"/>
    <mergeCell ref="N347:O347"/>
    <mergeCell ref="B346:C346"/>
    <mergeCell ref="D346:E346"/>
    <mergeCell ref="F346:G346"/>
    <mergeCell ref="H346:I346"/>
    <mergeCell ref="J346:K346"/>
    <mergeCell ref="J369:K369"/>
    <mergeCell ref="L369:M369"/>
    <mergeCell ref="N369:O369"/>
    <mergeCell ref="B367:C367"/>
    <mergeCell ref="D367:E367"/>
    <mergeCell ref="F367:G367"/>
    <mergeCell ref="H367:I367"/>
    <mergeCell ref="J367:K367"/>
    <mergeCell ref="L364:M364"/>
    <mergeCell ref="N364:O364"/>
    <mergeCell ref="B366:C366"/>
    <mergeCell ref="D366:E366"/>
    <mergeCell ref="F366:G366"/>
    <mergeCell ref="H366:I366"/>
    <mergeCell ref="J366:K366"/>
    <mergeCell ref="L366:M366"/>
    <mergeCell ref="N366:O366"/>
    <mergeCell ref="B364:C364"/>
    <mergeCell ref="D364:E364"/>
    <mergeCell ref="F364:G364"/>
    <mergeCell ref="H364:I364"/>
    <mergeCell ref="J364:K364"/>
    <mergeCell ref="B365:C365"/>
    <mergeCell ref="D365:E365"/>
    <mergeCell ref="F365:G365"/>
    <mergeCell ref="H365:I365"/>
    <mergeCell ref="J365:K365"/>
    <mergeCell ref="L365:M365"/>
    <mergeCell ref="N365:O365"/>
    <mergeCell ref="L373:M373"/>
    <mergeCell ref="N373:O373"/>
    <mergeCell ref="B375:C375"/>
    <mergeCell ref="D375:E375"/>
    <mergeCell ref="F375:G375"/>
    <mergeCell ref="H375:I375"/>
    <mergeCell ref="J375:K375"/>
    <mergeCell ref="L375:M375"/>
    <mergeCell ref="N375:O375"/>
    <mergeCell ref="B373:C373"/>
    <mergeCell ref="D373:E373"/>
    <mergeCell ref="F373:G373"/>
    <mergeCell ref="H373:I373"/>
    <mergeCell ref="J373:K373"/>
    <mergeCell ref="L370:M370"/>
    <mergeCell ref="N370:O370"/>
    <mergeCell ref="B372:C372"/>
    <mergeCell ref="D372:E372"/>
    <mergeCell ref="F372:G372"/>
    <mergeCell ref="H372:I372"/>
    <mergeCell ref="J372:K372"/>
    <mergeCell ref="L372:M372"/>
    <mergeCell ref="N372:O372"/>
    <mergeCell ref="B370:C370"/>
    <mergeCell ref="D370:E370"/>
    <mergeCell ref="F370:G370"/>
    <mergeCell ref="H370:I370"/>
    <mergeCell ref="J370:K370"/>
    <mergeCell ref="L379:M379"/>
    <mergeCell ref="N379:O379"/>
    <mergeCell ref="B381:C381"/>
    <mergeCell ref="D381:E381"/>
    <mergeCell ref="F381:G381"/>
    <mergeCell ref="H381:I381"/>
    <mergeCell ref="J381:K381"/>
    <mergeCell ref="L381:M381"/>
    <mergeCell ref="N381:O381"/>
    <mergeCell ref="B379:C379"/>
    <mergeCell ref="D379:E379"/>
    <mergeCell ref="F379:G379"/>
    <mergeCell ref="H379:I379"/>
    <mergeCell ref="J379:K379"/>
    <mergeCell ref="L376:M376"/>
    <mergeCell ref="N376:O376"/>
    <mergeCell ref="B378:C378"/>
    <mergeCell ref="D378:E378"/>
    <mergeCell ref="F378:G378"/>
    <mergeCell ref="H378:I378"/>
    <mergeCell ref="J378:K378"/>
    <mergeCell ref="L378:M378"/>
    <mergeCell ref="N378:O378"/>
    <mergeCell ref="B376:C376"/>
    <mergeCell ref="D376:E376"/>
    <mergeCell ref="F376:G376"/>
    <mergeCell ref="H376:I376"/>
    <mergeCell ref="J376:K376"/>
    <mergeCell ref="B377:C377"/>
    <mergeCell ref="D377:E377"/>
    <mergeCell ref="F377:G377"/>
    <mergeCell ref="H377:I377"/>
    <mergeCell ref="N15:O15"/>
    <mergeCell ref="B18:C18"/>
    <mergeCell ref="F18:G18"/>
    <mergeCell ref="H18:I18"/>
    <mergeCell ref="J18:K18"/>
    <mergeCell ref="L18:M18"/>
    <mergeCell ref="N18:O18"/>
    <mergeCell ref="D18:E18"/>
    <mergeCell ref="B21:C21"/>
    <mergeCell ref="D21:E21"/>
    <mergeCell ref="F21:G21"/>
    <mergeCell ref="H21:I21"/>
    <mergeCell ref="J21:K21"/>
    <mergeCell ref="L21:M21"/>
    <mergeCell ref="N21:O21"/>
    <mergeCell ref="J17:K17"/>
    <mergeCell ref="H17:I17"/>
    <mergeCell ref="F17:G17"/>
    <mergeCell ref="D17:E17"/>
    <mergeCell ref="N20:O20"/>
    <mergeCell ref="L20:M20"/>
    <mergeCell ref="J20:K20"/>
    <mergeCell ref="H20:I20"/>
    <mergeCell ref="F20:G20"/>
    <mergeCell ref="D20:E20"/>
    <mergeCell ref="B20:C20"/>
    <mergeCell ref="D24:E24"/>
    <mergeCell ref="F24:G24"/>
    <mergeCell ref="J24:K24"/>
    <mergeCell ref="L24:M24"/>
    <mergeCell ref="N24:O24"/>
    <mergeCell ref="B27:C27"/>
    <mergeCell ref="D27:E27"/>
    <mergeCell ref="F27:G27"/>
    <mergeCell ref="J27:K27"/>
    <mergeCell ref="L27:M27"/>
    <mergeCell ref="N27:O27"/>
    <mergeCell ref="B30:C30"/>
    <mergeCell ref="D30:E30"/>
    <mergeCell ref="F30:G30"/>
    <mergeCell ref="J30:K30"/>
    <mergeCell ref="L30:M30"/>
    <mergeCell ref="N30:O30"/>
    <mergeCell ref="F28:G28"/>
    <mergeCell ref="B24:C24"/>
    <mergeCell ref="B58:C58"/>
    <mergeCell ref="D58:E58"/>
    <mergeCell ref="F58:G58"/>
    <mergeCell ref="B46:C46"/>
    <mergeCell ref="D46:E46"/>
    <mergeCell ref="F46:G46"/>
    <mergeCell ref="J46:K46"/>
    <mergeCell ref="L46:M46"/>
    <mergeCell ref="N46:O46"/>
    <mergeCell ref="B79:C79"/>
    <mergeCell ref="D79:E79"/>
    <mergeCell ref="F79:G79"/>
    <mergeCell ref="J79:K79"/>
    <mergeCell ref="L79:M79"/>
    <mergeCell ref="N79:O79"/>
    <mergeCell ref="B82:C82"/>
    <mergeCell ref="D82:E82"/>
    <mergeCell ref="F82:G82"/>
    <mergeCell ref="J82:K82"/>
    <mergeCell ref="L82:M82"/>
    <mergeCell ref="N82:O82"/>
    <mergeCell ref="J58:K58"/>
    <mergeCell ref="L58:M58"/>
    <mergeCell ref="N58:O58"/>
    <mergeCell ref="B61:C61"/>
    <mergeCell ref="D61:E61"/>
    <mergeCell ref="F61:G61"/>
    <mergeCell ref="J61:K61"/>
    <mergeCell ref="L61:M61"/>
    <mergeCell ref="N61:O61"/>
    <mergeCell ref="L62:M62"/>
    <mergeCell ref="N62:O62"/>
    <mergeCell ref="B49:C49"/>
    <mergeCell ref="D49:E49"/>
    <mergeCell ref="F49:G49"/>
    <mergeCell ref="J49:K49"/>
    <mergeCell ref="L49:M49"/>
    <mergeCell ref="N49:O49"/>
    <mergeCell ref="B52:C52"/>
    <mergeCell ref="D52:E52"/>
    <mergeCell ref="F52:G52"/>
    <mergeCell ref="J52:K52"/>
    <mergeCell ref="L52:M52"/>
    <mergeCell ref="N52:O52"/>
    <mergeCell ref="B55:C55"/>
    <mergeCell ref="D55:E55"/>
    <mergeCell ref="F55:G55"/>
    <mergeCell ref="J55:K55"/>
    <mergeCell ref="L55:M55"/>
    <mergeCell ref="N55:O55"/>
    <mergeCell ref="N51:O51"/>
    <mergeCell ref="B50:C50"/>
    <mergeCell ref="D50:E50"/>
    <mergeCell ref="F50:G50"/>
    <mergeCell ref="J50:K50"/>
    <mergeCell ref="B91:C91"/>
    <mergeCell ref="D91:E91"/>
    <mergeCell ref="F91:G91"/>
    <mergeCell ref="J91:K91"/>
    <mergeCell ref="L91:M91"/>
    <mergeCell ref="N91:O91"/>
    <mergeCell ref="B94:C94"/>
    <mergeCell ref="D94:E94"/>
    <mergeCell ref="F94:G94"/>
    <mergeCell ref="H94:I94"/>
    <mergeCell ref="J94:K94"/>
    <mergeCell ref="L94:M94"/>
    <mergeCell ref="N94:O94"/>
    <mergeCell ref="B85:C85"/>
    <mergeCell ref="D85:E85"/>
    <mergeCell ref="F85:G85"/>
    <mergeCell ref="H85:I85"/>
    <mergeCell ref="J85:K85"/>
    <mergeCell ref="L85:M85"/>
    <mergeCell ref="N85:O85"/>
    <mergeCell ref="L89:M89"/>
    <mergeCell ref="N89:O89"/>
    <mergeCell ref="B90:C90"/>
    <mergeCell ref="D90:E90"/>
    <mergeCell ref="F90:G90"/>
    <mergeCell ref="H90:I90"/>
    <mergeCell ref="J90:K90"/>
    <mergeCell ref="L90:M90"/>
    <mergeCell ref="N90:O90"/>
    <mergeCell ref="B89:C89"/>
    <mergeCell ref="D89:E89"/>
    <mergeCell ref="F89:G89"/>
    <mergeCell ref="B111:C111"/>
    <mergeCell ref="D111:E111"/>
    <mergeCell ref="F111:G111"/>
    <mergeCell ref="H111:I111"/>
    <mergeCell ref="J111:K111"/>
    <mergeCell ref="L111:M111"/>
    <mergeCell ref="N111:O111"/>
    <mergeCell ref="B114:C114"/>
    <mergeCell ref="D114:E114"/>
    <mergeCell ref="F114:G114"/>
    <mergeCell ref="H114:I114"/>
    <mergeCell ref="J114:K114"/>
    <mergeCell ref="L114:M114"/>
    <mergeCell ref="N114:O114"/>
    <mergeCell ref="B117:C117"/>
    <mergeCell ref="D117:E117"/>
    <mergeCell ref="F117:G117"/>
    <mergeCell ref="H117:I117"/>
    <mergeCell ref="J117:K117"/>
    <mergeCell ref="L117:M117"/>
    <mergeCell ref="N117:O117"/>
    <mergeCell ref="L115:M115"/>
    <mergeCell ref="N115:O115"/>
    <mergeCell ref="B116:C116"/>
    <mergeCell ref="D116:E116"/>
    <mergeCell ref="F116:G116"/>
    <mergeCell ref="H116:I116"/>
    <mergeCell ref="J116:K116"/>
    <mergeCell ref="L116:M116"/>
    <mergeCell ref="N116:O116"/>
    <mergeCell ref="B115:C115"/>
    <mergeCell ref="D115:E115"/>
    <mergeCell ref="F148:G148"/>
    <mergeCell ref="H148:I148"/>
    <mergeCell ref="J148:K148"/>
    <mergeCell ref="L148:M148"/>
    <mergeCell ref="N148:O148"/>
    <mergeCell ref="J120:K120"/>
    <mergeCell ref="L120:M120"/>
    <mergeCell ref="N120:O120"/>
    <mergeCell ref="B123:C123"/>
    <mergeCell ref="D123:E123"/>
    <mergeCell ref="F123:G123"/>
    <mergeCell ref="H123:I123"/>
    <mergeCell ref="J123:K123"/>
    <mergeCell ref="L123:M123"/>
    <mergeCell ref="N123:O123"/>
    <mergeCell ref="B126:C126"/>
    <mergeCell ref="D126:E126"/>
    <mergeCell ref="F126:G126"/>
    <mergeCell ref="H126:I126"/>
    <mergeCell ref="J126:K126"/>
    <mergeCell ref="L126:M126"/>
    <mergeCell ref="N126:O126"/>
    <mergeCell ref="L146:M146"/>
    <mergeCell ref="N146:O146"/>
    <mergeCell ref="B147:C147"/>
    <mergeCell ref="D147:E147"/>
    <mergeCell ref="F147:G147"/>
    <mergeCell ref="H147:I147"/>
    <mergeCell ref="J147:K147"/>
    <mergeCell ref="L147:M147"/>
    <mergeCell ref="N147:O147"/>
    <mergeCell ref="B146:C146"/>
    <mergeCell ref="J151:K151"/>
    <mergeCell ref="L151:M151"/>
    <mergeCell ref="B154:C154"/>
    <mergeCell ref="D154:E154"/>
    <mergeCell ref="F154:G154"/>
    <mergeCell ref="H154:I154"/>
    <mergeCell ref="J154:K154"/>
    <mergeCell ref="L154:M154"/>
    <mergeCell ref="N154:O154"/>
    <mergeCell ref="B157:C157"/>
    <mergeCell ref="D157:E157"/>
    <mergeCell ref="F157:G157"/>
    <mergeCell ref="H157:I157"/>
    <mergeCell ref="J157:K157"/>
    <mergeCell ref="L157:M157"/>
    <mergeCell ref="N157:O157"/>
    <mergeCell ref="B142:C142"/>
    <mergeCell ref="D142:E142"/>
    <mergeCell ref="F142:G142"/>
    <mergeCell ref="H142:I142"/>
    <mergeCell ref="J142:K142"/>
    <mergeCell ref="L142:M142"/>
    <mergeCell ref="N142:O142"/>
    <mergeCell ref="B145:C145"/>
    <mergeCell ref="D145:E145"/>
    <mergeCell ref="F145:G145"/>
    <mergeCell ref="H145:I145"/>
    <mergeCell ref="J145:K145"/>
    <mergeCell ref="L145:M145"/>
    <mergeCell ref="N145:O145"/>
    <mergeCell ref="B148:C148"/>
    <mergeCell ref="D148:E148"/>
    <mergeCell ref="B174:C174"/>
    <mergeCell ref="D174:E174"/>
    <mergeCell ref="F174:G174"/>
    <mergeCell ref="H174:I174"/>
    <mergeCell ref="J174:K174"/>
    <mergeCell ref="L174:M174"/>
    <mergeCell ref="N174:O174"/>
    <mergeCell ref="B177:C177"/>
    <mergeCell ref="D177:E177"/>
    <mergeCell ref="F177:G177"/>
    <mergeCell ref="H177:I177"/>
    <mergeCell ref="J177:K177"/>
    <mergeCell ref="L177:M177"/>
    <mergeCell ref="N177:O177"/>
    <mergeCell ref="B180:C180"/>
    <mergeCell ref="D180:E180"/>
    <mergeCell ref="F180:G180"/>
    <mergeCell ref="H180:I180"/>
    <mergeCell ref="J180:K180"/>
    <mergeCell ref="L180:M180"/>
    <mergeCell ref="N180:O180"/>
    <mergeCell ref="L178:M178"/>
    <mergeCell ref="N178:O178"/>
    <mergeCell ref="B179:C179"/>
    <mergeCell ref="D179:E179"/>
    <mergeCell ref="F179:G179"/>
    <mergeCell ref="H179:I179"/>
    <mergeCell ref="J179:K179"/>
    <mergeCell ref="L179:M179"/>
    <mergeCell ref="N179:O179"/>
    <mergeCell ref="B178:C178"/>
    <mergeCell ref="D178:E178"/>
    <mergeCell ref="F211:G211"/>
    <mergeCell ref="H211:I211"/>
    <mergeCell ref="J211:K211"/>
    <mergeCell ref="L211:M211"/>
    <mergeCell ref="N211:O211"/>
    <mergeCell ref="J182:K182"/>
    <mergeCell ref="L182:M182"/>
    <mergeCell ref="N182:O182"/>
    <mergeCell ref="B185:C185"/>
    <mergeCell ref="D185:E185"/>
    <mergeCell ref="F185:G185"/>
    <mergeCell ref="H185:I185"/>
    <mergeCell ref="J185:K185"/>
    <mergeCell ref="L185:M185"/>
    <mergeCell ref="N185:O185"/>
    <mergeCell ref="B188:C188"/>
    <mergeCell ref="D188:E188"/>
    <mergeCell ref="F188:G188"/>
    <mergeCell ref="H188:I188"/>
    <mergeCell ref="J188:K188"/>
    <mergeCell ref="L188:M188"/>
    <mergeCell ref="N188:O188"/>
    <mergeCell ref="L209:M209"/>
    <mergeCell ref="N209:O209"/>
    <mergeCell ref="D210:E210"/>
    <mergeCell ref="F210:G210"/>
    <mergeCell ref="H210:I210"/>
    <mergeCell ref="J210:K210"/>
    <mergeCell ref="L210:M210"/>
    <mergeCell ref="N210:O210"/>
    <mergeCell ref="D209:E209"/>
    <mergeCell ref="F209:G209"/>
    <mergeCell ref="J214:K214"/>
    <mergeCell ref="L214:M214"/>
    <mergeCell ref="B217:C217"/>
    <mergeCell ref="D217:E217"/>
    <mergeCell ref="F217:G217"/>
    <mergeCell ref="H217:I217"/>
    <mergeCell ref="J217:K217"/>
    <mergeCell ref="L217:M217"/>
    <mergeCell ref="N217:O217"/>
    <mergeCell ref="B220:C220"/>
    <mergeCell ref="D220:E220"/>
    <mergeCell ref="F220:G220"/>
    <mergeCell ref="H220:I220"/>
    <mergeCell ref="J220:K220"/>
    <mergeCell ref="L220:M220"/>
    <mergeCell ref="N220:O220"/>
    <mergeCell ref="B205:C205"/>
    <mergeCell ref="D205:E205"/>
    <mergeCell ref="F205:G205"/>
    <mergeCell ref="H205:I205"/>
    <mergeCell ref="J205:K205"/>
    <mergeCell ref="L205:M205"/>
    <mergeCell ref="N205:O205"/>
    <mergeCell ref="B208:C208"/>
    <mergeCell ref="D208:E208"/>
    <mergeCell ref="F208:G208"/>
    <mergeCell ref="H208:I208"/>
    <mergeCell ref="J208:K208"/>
    <mergeCell ref="L208:M208"/>
    <mergeCell ref="N208:O208"/>
    <mergeCell ref="B211:C211"/>
    <mergeCell ref="D211:E211"/>
    <mergeCell ref="B237:C237"/>
    <mergeCell ref="D237:E237"/>
    <mergeCell ref="F237:G237"/>
    <mergeCell ref="H237:I237"/>
    <mergeCell ref="J237:K237"/>
    <mergeCell ref="L237:M237"/>
    <mergeCell ref="N237:O237"/>
    <mergeCell ref="B240:C240"/>
    <mergeCell ref="D240:E240"/>
    <mergeCell ref="F240:G240"/>
    <mergeCell ref="H240:I240"/>
    <mergeCell ref="J240:K240"/>
    <mergeCell ref="L240:M240"/>
    <mergeCell ref="N240:O240"/>
    <mergeCell ref="B243:C243"/>
    <mergeCell ref="D243:E243"/>
    <mergeCell ref="F243:G243"/>
    <mergeCell ref="H243:I243"/>
    <mergeCell ref="J243:K243"/>
    <mergeCell ref="L243:M243"/>
    <mergeCell ref="N243:O243"/>
    <mergeCell ref="L241:M241"/>
    <mergeCell ref="N241:O241"/>
    <mergeCell ref="B242:C242"/>
    <mergeCell ref="D242:E242"/>
    <mergeCell ref="F242:G242"/>
    <mergeCell ref="H242:I242"/>
    <mergeCell ref="J242:K242"/>
    <mergeCell ref="L242:M242"/>
    <mergeCell ref="N242:O242"/>
    <mergeCell ref="B241:C241"/>
    <mergeCell ref="D241:E241"/>
    <mergeCell ref="B249:C249"/>
    <mergeCell ref="D249:E249"/>
    <mergeCell ref="F249:G249"/>
    <mergeCell ref="H249:I249"/>
    <mergeCell ref="J249:K249"/>
    <mergeCell ref="L249:M249"/>
    <mergeCell ref="N249:O249"/>
    <mergeCell ref="B252:C252"/>
    <mergeCell ref="D252:E252"/>
    <mergeCell ref="F252:G252"/>
    <mergeCell ref="H252:I252"/>
    <mergeCell ref="J252:K252"/>
    <mergeCell ref="L252:M252"/>
    <mergeCell ref="N252:O252"/>
    <mergeCell ref="L247:M247"/>
    <mergeCell ref="N247:O247"/>
    <mergeCell ref="B248:C248"/>
    <mergeCell ref="D248:E248"/>
    <mergeCell ref="F248:G248"/>
    <mergeCell ref="H248:I248"/>
    <mergeCell ref="J248:K248"/>
    <mergeCell ref="L248:M248"/>
    <mergeCell ref="N248:O248"/>
    <mergeCell ref="B247:C247"/>
    <mergeCell ref="D247:E247"/>
    <mergeCell ref="F247:G247"/>
    <mergeCell ref="H247:I247"/>
    <mergeCell ref="J247:K247"/>
    <mergeCell ref="B269:C269"/>
    <mergeCell ref="D269:E269"/>
    <mergeCell ref="F269:G269"/>
    <mergeCell ref="H269:I269"/>
    <mergeCell ref="J269:K269"/>
    <mergeCell ref="L269:M269"/>
    <mergeCell ref="N269:O269"/>
    <mergeCell ref="B272:C272"/>
    <mergeCell ref="D272:E272"/>
    <mergeCell ref="F272:G272"/>
    <mergeCell ref="H272:I272"/>
    <mergeCell ref="J272:K272"/>
    <mergeCell ref="L272:M272"/>
    <mergeCell ref="N272:O272"/>
    <mergeCell ref="B275:C275"/>
    <mergeCell ref="D275:E275"/>
    <mergeCell ref="F275:G275"/>
    <mergeCell ref="H275:I275"/>
    <mergeCell ref="J275:K275"/>
    <mergeCell ref="L275:M275"/>
    <mergeCell ref="N275:O275"/>
    <mergeCell ref="L273:M273"/>
    <mergeCell ref="N273:O273"/>
    <mergeCell ref="B274:C274"/>
    <mergeCell ref="D274:E274"/>
    <mergeCell ref="F274:G274"/>
    <mergeCell ref="H274:I274"/>
    <mergeCell ref="J274:K274"/>
    <mergeCell ref="L274:M274"/>
    <mergeCell ref="N274:O274"/>
    <mergeCell ref="B273:C273"/>
    <mergeCell ref="D273:E273"/>
    <mergeCell ref="B281:C281"/>
    <mergeCell ref="D281:E281"/>
    <mergeCell ref="F281:G281"/>
    <mergeCell ref="H281:I281"/>
    <mergeCell ref="J281:K281"/>
    <mergeCell ref="L281:M281"/>
    <mergeCell ref="N281:O281"/>
    <mergeCell ref="B284:C284"/>
    <mergeCell ref="D284:E284"/>
    <mergeCell ref="F284:G284"/>
    <mergeCell ref="H284:I284"/>
    <mergeCell ref="J284:K284"/>
    <mergeCell ref="L284:M284"/>
    <mergeCell ref="N284:O284"/>
    <mergeCell ref="L279:M279"/>
    <mergeCell ref="N279:O279"/>
    <mergeCell ref="B280:C280"/>
    <mergeCell ref="D280:E280"/>
    <mergeCell ref="F280:G280"/>
    <mergeCell ref="H280:I280"/>
    <mergeCell ref="J280:K280"/>
    <mergeCell ref="L280:M280"/>
    <mergeCell ref="N280:O280"/>
    <mergeCell ref="B279:C279"/>
    <mergeCell ref="D279:E279"/>
    <mergeCell ref="F279:G279"/>
    <mergeCell ref="H279:I279"/>
    <mergeCell ref="J279:K279"/>
    <mergeCell ref="B301:C301"/>
    <mergeCell ref="D301:E301"/>
    <mergeCell ref="F301:G301"/>
    <mergeCell ref="H301:I301"/>
    <mergeCell ref="J301:K301"/>
    <mergeCell ref="L301:M301"/>
    <mergeCell ref="N301:O301"/>
    <mergeCell ref="B304:C304"/>
    <mergeCell ref="D304:E304"/>
    <mergeCell ref="F304:G304"/>
    <mergeCell ref="H304:I304"/>
    <mergeCell ref="J304:K304"/>
    <mergeCell ref="L304:M304"/>
    <mergeCell ref="N304:O304"/>
    <mergeCell ref="B307:C307"/>
    <mergeCell ref="D307:E307"/>
    <mergeCell ref="F307:G307"/>
    <mergeCell ref="H307:I307"/>
    <mergeCell ref="J307:K307"/>
    <mergeCell ref="L307:M307"/>
    <mergeCell ref="N307:O307"/>
    <mergeCell ref="L305:M305"/>
    <mergeCell ref="N305:O305"/>
    <mergeCell ref="B306:C306"/>
    <mergeCell ref="D306:E306"/>
    <mergeCell ref="F306:G306"/>
    <mergeCell ref="H306:I306"/>
    <mergeCell ref="J306:K306"/>
    <mergeCell ref="L306:M306"/>
    <mergeCell ref="N306:O306"/>
    <mergeCell ref="B305:C305"/>
    <mergeCell ref="D305:E305"/>
    <mergeCell ref="B313:C313"/>
    <mergeCell ref="D313:E313"/>
    <mergeCell ref="F313:G313"/>
    <mergeCell ref="H313:I313"/>
    <mergeCell ref="J313:K313"/>
    <mergeCell ref="L313:M313"/>
    <mergeCell ref="N313:O313"/>
    <mergeCell ref="B316:C316"/>
    <mergeCell ref="D316:E316"/>
    <mergeCell ref="F316:G316"/>
    <mergeCell ref="H316:I316"/>
    <mergeCell ref="J316:K316"/>
    <mergeCell ref="L316:M316"/>
    <mergeCell ref="N316:O316"/>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B333:C333"/>
    <mergeCell ref="D333:E333"/>
    <mergeCell ref="F333:G333"/>
    <mergeCell ref="H333:I333"/>
    <mergeCell ref="J333:K333"/>
    <mergeCell ref="L333:M333"/>
    <mergeCell ref="N333:O333"/>
    <mergeCell ref="B336:C336"/>
    <mergeCell ref="D336:E336"/>
    <mergeCell ref="F336:G336"/>
    <mergeCell ref="H336:I336"/>
    <mergeCell ref="J336:K336"/>
    <mergeCell ref="L336:M336"/>
    <mergeCell ref="N336:O336"/>
    <mergeCell ref="B339:C339"/>
    <mergeCell ref="D339:E339"/>
    <mergeCell ref="F339:G339"/>
    <mergeCell ref="H339:I339"/>
    <mergeCell ref="J339:K339"/>
    <mergeCell ref="L339:M339"/>
    <mergeCell ref="N339:O339"/>
    <mergeCell ref="L337:M337"/>
    <mergeCell ref="N337:O337"/>
    <mergeCell ref="B338:C338"/>
    <mergeCell ref="D338:E338"/>
    <mergeCell ref="F338:G338"/>
    <mergeCell ref="H338:I338"/>
    <mergeCell ref="J338:K338"/>
    <mergeCell ref="L338:M338"/>
    <mergeCell ref="N338:O338"/>
    <mergeCell ref="B337:C337"/>
    <mergeCell ref="D337:E337"/>
    <mergeCell ref="B368:C368"/>
    <mergeCell ref="D368:E368"/>
    <mergeCell ref="F368:G368"/>
    <mergeCell ref="H368:I368"/>
    <mergeCell ref="J368:K368"/>
    <mergeCell ref="L368:M368"/>
    <mergeCell ref="N368:O368"/>
    <mergeCell ref="B371:C371"/>
    <mergeCell ref="D371:E371"/>
    <mergeCell ref="J342:K342"/>
    <mergeCell ref="L342:M342"/>
    <mergeCell ref="N342:O342"/>
    <mergeCell ref="B345:C345"/>
    <mergeCell ref="D345:E345"/>
    <mergeCell ref="F345:G345"/>
    <mergeCell ref="H345:I345"/>
    <mergeCell ref="J345:K345"/>
    <mergeCell ref="L345:M345"/>
    <mergeCell ref="N345:O345"/>
    <mergeCell ref="B348:C348"/>
    <mergeCell ref="D348:E348"/>
    <mergeCell ref="F348:G348"/>
    <mergeCell ref="H348:I348"/>
    <mergeCell ref="J348:K348"/>
    <mergeCell ref="L348:M348"/>
    <mergeCell ref="N348:O348"/>
    <mergeCell ref="L367:M367"/>
    <mergeCell ref="N367:O367"/>
    <mergeCell ref="B369:C369"/>
    <mergeCell ref="D369:E369"/>
    <mergeCell ref="F369:G369"/>
    <mergeCell ref="H369:I369"/>
  </mergeCells>
  <phoneticPr fontId="5"/>
  <conditionalFormatting sqref="B15 D15 F15 H15 J15 L15 N15">
    <cfRule type="expression" dxfId="41" priority="34">
      <formula>DAY(B15)&gt;8</formula>
    </cfRule>
  </conditionalFormatting>
  <conditionalFormatting sqref="F28:G28">
    <cfRule type="expression" dxfId="40" priority="36">
      <formula>E29&lt;&gt;""</formula>
    </cfRule>
  </conditionalFormatting>
  <conditionalFormatting sqref="B27 D27 F27 H27 J27 L27 N27 B30 D30 F30 H30 J30 L30 N30">
    <cfRule type="expression" dxfId="39" priority="35">
      <formula>AND(DAY(B27)&gt;=1,DAY(B27)&lt;=15)</formula>
    </cfRule>
  </conditionalFormatting>
  <conditionalFormatting sqref="B46 D46 F46 H46 J46 L46 N46">
    <cfRule type="expression" dxfId="38" priority="31">
      <formula>DAY(B46)&gt;8</formula>
    </cfRule>
  </conditionalFormatting>
  <conditionalFormatting sqref="N61 B365 D365 F365 H365 J365 L365 N365 B368 D368 F368 H368 J368 L368 N368 B371 D371 F371 H371 J371 L371 N371 B374 D374 F374 H374 J374 L374 N374 B377 D377 F377 H377 J377 L377 N377 B380 D380 F380 H380 J380 L380">
    <cfRule type="expression" dxfId="37" priority="33">
      <formula>B62&lt;&gt;""</formula>
    </cfRule>
  </conditionalFormatting>
  <conditionalFormatting sqref="B58 D58 F58 H58 J58 L58 N58 B61 D61 F61 H61 J61 L61 N61">
    <cfRule type="expression" dxfId="36" priority="32">
      <formula>AND(DAY(B58)&gt;=1,DAY(B58)&lt;=15)</formula>
    </cfRule>
  </conditionalFormatting>
  <conditionalFormatting sqref="B79 D79 F79 H79 J79 L79 N79">
    <cfRule type="expression" dxfId="35" priority="28">
      <formula>DAY(B79)&gt;8</formula>
    </cfRule>
  </conditionalFormatting>
  <conditionalFormatting sqref="N94 B111 D111 F111 H111 J111 L111 N111 B114 D114 F114 H114 J114 L114 N114 B117 D117 F117 H117 J117 L117 N117 B120 D120 F120 H120 J120 L120 N120 B123 D123 F123 H123 J123 L123 N123 B126 D126 F126 H126 J126 L126 B142 D142 F142 H142 J142 L142 N142 B145 D145 F145 H145 J145 L145 N145 B148 D148 F148 H148 J148 L148 N148 B151 D151 F151 H151 J151 L151 N151 B154 D154 F154 H154 J154 L154 N154 B157 D157 F157 H157 J157 L157">
    <cfRule type="expression" dxfId="34" priority="30">
      <formula>B95&lt;&gt;""</formula>
    </cfRule>
  </conditionalFormatting>
  <conditionalFormatting sqref="B91 D91 F91 H91 J91 L91 N91 B94 D94 F94 H94 J94 L94 N94">
    <cfRule type="expression" dxfId="33" priority="29">
      <formula>AND(DAY(B91)&gt;=1,DAY(B91)&lt;=15)</formula>
    </cfRule>
  </conditionalFormatting>
  <conditionalFormatting sqref="B111 D111 F111 H111 J111 L111 N111">
    <cfRule type="expression" dxfId="32" priority="25">
      <formula>DAY(B111)&gt;8</formula>
    </cfRule>
  </conditionalFormatting>
  <conditionalFormatting sqref="N126">
    <cfRule type="expression" dxfId="31" priority="27">
      <formula>N127&lt;&gt;""</formula>
    </cfRule>
  </conditionalFormatting>
  <conditionalFormatting sqref="B123 D123 F123 H123 J123 L123 N123 B126 D126 F126 H126 J126 L126 N126">
    <cfRule type="expression" dxfId="30" priority="26">
      <formula>AND(DAY(B123)&gt;=1,DAY(B123)&lt;=15)</formula>
    </cfRule>
  </conditionalFormatting>
  <conditionalFormatting sqref="B142 D142 F142 H142 J142 L142 N142">
    <cfRule type="expression" dxfId="29" priority="22">
      <formula>DAY(B142)&gt;8</formula>
    </cfRule>
  </conditionalFormatting>
  <conditionalFormatting sqref="N157">
    <cfRule type="expression" dxfId="28" priority="24">
      <formula>N158&lt;&gt;""</formula>
    </cfRule>
  </conditionalFormatting>
  <conditionalFormatting sqref="B154 D154 F154 H154 J154 L154 N154 B157 D157 F157 H157 J157 L157 N157">
    <cfRule type="expression" dxfId="27" priority="23">
      <formula>AND(DAY(B154)&gt;=1,DAY(B154)&lt;=15)</formula>
    </cfRule>
  </conditionalFormatting>
  <conditionalFormatting sqref="B174 D174 F174 H174 J174 L174 N174">
    <cfRule type="expression" dxfId="26" priority="19">
      <formula>DAY(B174)&gt;8</formula>
    </cfRule>
  </conditionalFormatting>
  <conditionalFormatting sqref="N188 B205 D205 F205 H205 J205 L205 N205 B208 D208 F208 H208 J208 L208 N208 B211 D211 F211 H211 J211 L211 N211 B214 D214 F214 H214 J214 L214 N214 B217 D217 F217 H217 J217 L217 N217 B220 D220 F220 H220 J220 L220 B237 D237 F237 H237 J237 L237 N237 B240 D240 F240 H240 J240 L240 N240 B243 D243 F243 H243 J243 L243 N243 B246 D246 F246 H246 J246 L246 N246 B249 D249 F249 H249 J249 L249 N249 B252 D252 F252 H252 J252 L252">
    <cfRule type="expression" dxfId="25" priority="21">
      <formula>B189&lt;&gt;""</formula>
    </cfRule>
  </conditionalFormatting>
  <conditionalFormatting sqref="B185 D185 F185 H185 J185 L185 N185 B188 D188 F188 H188 J188 L188 N188">
    <cfRule type="expression" dxfId="24" priority="20">
      <formula>AND(DAY(B185)&gt;=1,DAY(B185)&lt;=15)</formula>
    </cfRule>
  </conditionalFormatting>
  <conditionalFormatting sqref="B205 D205 F205 H205 J205 L205 N205">
    <cfRule type="expression" dxfId="23" priority="16">
      <formula>DAY(B205)&gt;8</formula>
    </cfRule>
  </conditionalFormatting>
  <conditionalFormatting sqref="N220">
    <cfRule type="expression" dxfId="22" priority="18">
      <formula>N221&lt;&gt;""</formula>
    </cfRule>
  </conditionalFormatting>
  <conditionalFormatting sqref="B217 D217 F217 H217 J217 L217 N217 B220 D220 F220 H220 J220 L220 N220">
    <cfRule type="expression" dxfId="21" priority="17">
      <formula>AND(DAY(B217)&gt;=1,DAY(B217)&lt;=15)</formula>
    </cfRule>
  </conditionalFormatting>
  <conditionalFormatting sqref="B237 D237 F237 H237 J237 L237 N237">
    <cfRule type="expression" dxfId="20" priority="13">
      <formula>DAY(B237)&gt;8</formula>
    </cfRule>
  </conditionalFormatting>
  <conditionalFormatting sqref="N252">
    <cfRule type="expression" dxfId="19" priority="15">
      <formula>N253&lt;&gt;""</formula>
    </cfRule>
  </conditionalFormatting>
  <conditionalFormatting sqref="B249 D249 F249 H249 J249 L249 N249 B252 D252 F252 H252 J252 L252 N252">
    <cfRule type="expression" dxfId="18" priority="14">
      <formula>AND(DAY(B249)&gt;=1,DAY(B249)&lt;=15)</formula>
    </cfRule>
  </conditionalFormatting>
  <conditionalFormatting sqref="B269 D269 F269 H269 J269 L269 N269">
    <cfRule type="expression" dxfId="17" priority="10">
      <formula>DAY(B269)&gt;8</formula>
    </cfRule>
  </conditionalFormatting>
  <conditionalFormatting sqref="N284 B301 D301 F301 H301 J301 L301 N301 B304 D304 F304 H304 J304 L304 N304 B307 D307 F307 H307 J307 L307 N307 B310 D310 F310 H310 J310 L310 N310 B313 D313 F313 H313 J313 L313 N313 B316 D316 F316 H316 J316 L316 B333 D333 F333 H333 J333 L333 N333 B336 D336 F336 H336 J336 L336 N336 B339 D339 F339 H339 J339 L339 N339 B342 D342 F342 H342 J342 L342 N342 B345 D345 F345 H345 J345 L345 N345 B348 D348 F348 H348 J348 L348">
    <cfRule type="expression" dxfId="16" priority="12">
      <formula>B285&lt;&gt;""</formula>
    </cfRule>
  </conditionalFormatting>
  <conditionalFormatting sqref="B281 D281 F281 H281 J281 L281 N281 B284 D284 F284 H284 J284 L284 N284">
    <cfRule type="expression" dxfId="15" priority="11">
      <formula>AND(DAY(B281)&gt;=1,DAY(B281)&lt;=15)</formula>
    </cfRule>
  </conditionalFormatting>
  <conditionalFormatting sqref="B301 D301 F301 H301 J301 L301 N301">
    <cfRule type="expression" dxfId="14" priority="7">
      <formula>DAY(B301)&gt;8</formula>
    </cfRule>
  </conditionalFormatting>
  <conditionalFormatting sqref="N316">
    <cfRule type="expression" dxfId="13" priority="9">
      <formula>N317&lt;&gt;""</formula>
    </cfRule>
  </conditionalFormatting>
  <conditionalFormatting sqref="B313 D313 F313 H313 J313 L313 N313 B316 D316 F316 H316 J316 L316 N316">
    <cfRule type="expression" dxfId="12" priority="8">
      <formula>AND(DAY(B313)&gt;=1,DAY(B313)&lt;=15)</formula>
    </cfRule>
  </conditionalFormatting>
  <conditionalFormatting sqref="B333 D333 F333 H333 J333 L333 N333">
    <cfRule type="expression" dxfId="11" priority="4">
      <formula>DAY(B333)&gt;8</formula>
    </cfRule>
  </conditionalFormatting>
  <conditionalFormatting sqref="N348">
    <cfRule type="expression" dxfId="10" priority="6">
      <formula>N349&lt;&gt;""</formula>
    </cfRule>
  </conditionalFormatting>
  <conditionalFormatting sqref="B345 D345 F345 H345 J345 L345 N345 B348 D348 F348 H348 J348 L348 N348">
    <cfRule type="expression" dxfId="9" priority="5">
      <formula>AND(DAY(B345)&gt;=1,DAY(B345)&lt;=15)</formula>
    </cfRule>
  </conditionalFormatting>
  <conditionalFormatting sqref="B365 D365 F365 H365 J365 L365 N365">
    <cfRule type="expression" dxfId="8" priority="1">
      <formula>DAY(B365)&gt;8</formula>
    </cfRule>
  </conditionalFormatting>
  <conditionalFormatting sqref="N380">
    <cfRule type="expression" dxfId="7" priority="3">
      <formula>N381&lt;&gt;""</formula>
    </cfRule>
  </conditionalFormatting>
  <conditionalFormatting sqref="B377 D377 F377 H377 J377 L377 N377 B380 D380 F380 H380 J380 L380 N380">
    <cfRule type="expression" dxfId="6" priority="2">
      <formula>AND(DAY(B377)&gt;=1,DAY(B377)&lt;=15)</formula>
    </cfRule>
  </conditionalFormatting>
  <conditionalFormatting sqref="B15 D15 F15 H15 J15 L15 N15 B18 F18 H18 J18 L18 N18 D18 B21 D21 F21 H21 J21 L21 N21 B24 D24 F24 H24 J24 L24 N24 B27 D27 F27 H27 J27 L27 N27 B30 D30 F30 H30 J30 L30 N30 B46 D46 F46 H46 J46 L46 N46 B49 D49 F49 H49 J49 L49 N49 B52 D52 F52 H52 J52 L52 N52 B55 D55 F55 H55 J55 L55 N55 B58 D58 F58 H58 J58 L58 N58 B61 D61 F61 H61 J61 L61">
    <cfRule type="expression" dxfId="5" priority="37">
      <formula>B16&lt;&gt;""</formula>
    </cfRule>
  </conditionalFormatting>
  <conditionalFormatting sqref="B79 D79 F79 H79 J79 L79 N79 B82 D82 F82 H82 J82 L82 N82 B85 D85 F85 H85 J85 L85 N85 B88 D88 F88 H88 J88 L88 N88 B91 D91 F91 H91 J91 L91 N91 B94 D94 F94 H94 J94 L94">
    <cfRule type="expression" dxfId="4" priority="38">
      <formula>B80&lt;&gt;""</formula>
    </cfRule>
  </conditionalFormatting>
  <conditionalFormatting sqref="B174 D174 F174 H174 J174 L174 N174 B177 D177 F177 H177 J177 L177 N177 B182 D182 F182 H182 J182 L182 N182 B185 D185 F185 H185 J185 L185 N185 B188 D188 F188 H188 J188 L188">
    <cfRule type="expression" dxfId="3" priority="39">
      <formula>B175&lt;&gt;""</formula>
    </cfRule>
  </conditionalFormatting>
  <conditionalFormatting sqref="B269 D269 F269 H269 J269 L269 N269 B272 D272 F272 H272 J272 L272 N272 B275 D275 F275 H275 J275 L275 N275 B278 D278 F278 H278 J278 L278 N278 B281 D281 F281 H281 J281 L281 N281 B284 D284 F284 H284 J284 L284">
    <cfRule type="expression" dxfId="2" priority="40">
      <formula>B270&lt;&gt;""</formula>
    </cfRule>
  </conditionalFormatting>
  <conditionalFormatting sqref="D180 F180 H180 J180 L180 N180 B180">
    <cfRule type="expression" dxfId="1" priority="42">
      <formula>#REF!&lt;&gt;""</formula>
    </cfRule>
  </conditionalFormatting>
  <conditionalFormatting sqref="D181 F181 H181 J181 L181 N181 B181">
    <cfRule type="expression" dxfId="0" priority="43">
      <formula>#REF!&lt;&gt;""</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2" max="16" man="1"/>
    <brk id="63" max="16" man="1"/>
    <brk id="96" max="16" man="1"/>
    <brk id="128" max="16" man="1"/>
    <brk id="159" max="16" man="1"/>
    <brk id="190" max="16" man="1"/>
    <brk id="222" max="16" man="1"/>
    <brk id="254" max="16" man="1"/>
    <brk id="286" max="16" man="1"/>
    <brk id="318" max="16" man="1"/>
    <brk id="350"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ตัวสปินเนอร์ 1">
              <controlPr defaultSize="0" print="0" autoPict="0" altText="ควบคุมตัวสปินเนอร์ ใช้ตัวสปินเนอร์เพื่อเปลี่ยนปีปฏิทินหรือพิมพ์ปีที่ต้องการในเซลล์ L2">
                <anchor moveWithCells="1">
                  <from>
                    <xdr:col>15</xdr:col>
                    <xdr:colOff>50800</xdr:colOff>
                    <xdr:row>1</xdr:row>
                    <xdr:rowOff>139700</xdr:rowOff>
                  </from>
                  <to>
                    <xdr:col>16</xdr:col>
                    <xdr:colOff>101600</xdr:colOff>
                    <xdr:row>1</xdr:row>
                    <xdr:rowOff>520700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PDescription xmlns="c0164e30-f6e2-4fcb-a5e1-373c3bc191c6" xsi:nil="true"/>
    <AssetExpire xmlns="c0164e30-f6e2-4fcb-a5e1-373c3bc191c6">2029-01-01T08:00:00+00:00</AssetExpire>
    <CampaignTagsTaxHTField0 xmlns="c0164e30-f6e2-4fcb-a5e1-373c3bc191c6">
      <Terms xmlns="http://schemas.microsoft.com/office/infopath/2007/PartnerControls"/>
    </CampaignTagsTaxHTField0>
    <IntlLangReviewDate xmlns="c0164e30-f6e2-4fcb-a5e1-373c3bc191c6" xsi:nil="true"/>
    <TPFriendlyName xmlns="c0164e30-f6e2-4fcb-a5e1-373c3bc191c6" xsi:nil="true"/>
    <IntlLangReview xmlns="c0164e30-f6e2-4fcb-a5e1-373c3bc191c6">false</IntlLangReview>
    <LocLastLocAttemptVersionLookup xmlns="c0164e30-f6e2-4fcb-a5e1-373c3bc191c6">848670</LocLastLocAttemptVersionLookup>
    <PolicheckWords xmlns="c0164e30-f6e2-4fcb-a5e1-373c3bc191c6" xsi:nil="true"/>
    <SubmitterId xmlns="c0164e30-f6e2-4fcb-a5e1-373c3bc191c6" xsi:nil="true"/>
    <AcquiredFrom xmlns="c0164e30-f6e2-4fcb-a5e1-373c3bc191c6">Internal MS</AcquiredFrom>
    <EditorialStatus xmlns="c0164e30-f6e2-4fcb-a5e1-373c3bc191c6">Complete</EditorialStatus>
    <Markets xmlns="c0164e30-f6e2-4fcb-a5e1-373c3bc191c6"/>
    <OriginAsset xmlns="c0164e30-f6e2-4fcb-a5e1-373c3bc191c6" xsi:nil="true"/>
    <AssetStart xmlns="c0164e30-f6e2-4fcb-a5e1-373c3bc191c6">2012-07-27T02:43:00+00:00</AssetStart>
    <FriendlyTitle xmlns="c0164e30-f6e2-4fcb-a5e1-373c3bc191c6" xsi:nil="true"/>
    <MarketSpecific xmlns="c0164e30-f6e2-4fcb-a5e1-373c3bc191c6">false</MarketSpecific>
    <TPNamespace xmlns="c0164e30-f6e2-4fcb-a5e1-373c3bc191c6" xsi:nil="true"/>
    <PublishStatusLookup xmlns="c0164e30-f6e2-4fcb-a5e1-373c3bc191c6">
      <Value>261788</Value>
    </PublishStatusLookup>
    <APAuthor xmlns="c0164e30-f6e2-4fcb-a5e1-373c3bc191c6">
      <UserInfo>
        <DisplayName>REDMOND\v-sa</DisplayName>
        <AccountId>2467</AccountId>
        <AccountType/>
      </UserInfo>
    </APAuthor>
    <TPCommandLine xmlns="c0164e30-f6e2-4fcb-a5e1-373c3bc191c6" xsi:nil="true"/>
    <IntlLangReviewer xmlns="c0164e30-f6e2-4fcb-a5e1-373c3bc191c6" xsi:nil="true"/>
    <OpenTemplate xmlns="c0164e30-f6e2-4fcb-a5e1-373c3bc191c6">true</OpenTemplate>
    <CSXSubmissionDate xmlns="c0164e30-f6e2-4fcb-a5e1-373c3bc191c6" xsi:nil="true"/>
    <TaxCatchAll xmlns="c0164e30-f6e2-4fcb-a5e1-373c3bc191c6"/>
    <Manager xmlns="c0164e30-f6e2-4fcb-a5e1-373c3bc191c6" xsi:nil="true"/>
    <NumericId xmlns="c0164e30-f6e2-4fcb-a5e1-373c3bc191c6" xsi:nil="true"/>
    <ParentAssetId xmlns="c0164e30-f6e2-4fcb-a5e1-373c3bc191c6" xsi:nil="true"/>
    <OriginalSourceMarket xmlns="c0164e30-f6e2-4fcb-a5e1-373c3bc191c6">english</OriginalSourceMarket>
    <ApprovalStatus xmlns="c0164e30-f6e2-4fcb-a5e1-373c3bc191c6">InProgress</ApprovalStatus>
    <TPComponent xmlns="c0164e30-f6e2-4fcb-a5e1-373c3bc191c6" xsi:nil="true"/>
    <EditorialTags xmlns="c0164e30-f6e2-4fcb-a5e1-373c3bc191c6" xsi:nil="true"/>
    <TPExecutable xmlns="c0164e30-f6e2-4fcb-a5e1-373c3bc191c6" xsi:nil="true"/>
    <TPLaunchHelpLink xmlns="c0164e30-f6e2-4fcb-a5e1-373c3bc191c6" xsi:nil="true"/>
    <LocComments xmlns="c0164e30-f6e2-4fcb-a5e1-373c3bc191c6" xsi:nil="true"/>
    <LocRecommendedHandoff xmlns="c0164e30-f6e2-4fcb-a5e1-373c3bc191c6" xsi:nil="true"/>
    <SourceTitle xmlns="c0164e30-f6e2-4fcb-a5e1-373c3bc191c6" xsi:nil="true"/>
    <CSXUpdate xmlns="c0164e30-f6e2-4fcb-a5e1-373c3bc191c6">false</CSXUpdate>
    <IntlLocPriority xmlns="c0164e30-f6e2-4fcb-a5e1-373c3bc191c6" xsi:nil="true"/>
    <UAProjectedTotalWords xmlns="c0164e30-f6e2-4fcb-a5e1-373c3bc191c6" xsi:nil="true"/>
    <AssetType xmlns="c0164e30-f6e2-4fcb-a5e1-373c3bc191c6">TP</AssetType>
    <MachineTranslated xmlns="c0164e30-f6e2-4fcb-a5e1-373c3bc191c6">false</MachineTranslated>
    <OutputCachingOn xmlns="c0164e30-f6e2-4fcb-a5e1-373c3bc191c6">false</OutputCachingOn>
    <TemplateStatus xmlns="c0164e30-f6e2-4fcb-a5e1-373c3bc191c6">Complete</TemplateStatus>
    <IsSearchable xmlns="c0164e30-f6e2-4fcb-a5e1-373c3bc191c6">true</IsSearchable>
    <ContentItem xmlns="c0164e30-f6e2-4fcb-a5e1-373c3bc191c6" xsi:nil="true"/>
    <HandoffToMSDN xmlns="c0164e30-f6e2-4fcb-a5e1-373c3bc191c6" xsi:nil="true"/>
    <ShowIn xmlns="c0164e30-f6e2-4fcb-a5e1-373c3bc191c6">Show everywhere</ShowIn>
    <ThumbnailAssetId xmlns="c0164e30-f6e2-4fcb-a5e1-373c3bc191c6" xsi:nil="true"/>
    <UALocComments xmlns="c0164e30-f6e2-4fcb-a5e1-373c3bc191c6" xsi:nil="true"/>
    <UALocRecommendation xmlns="c0164e30-f6e2-4fcb-a5e1-373c3bc191c6">Localize</UALocRecommendation>
    <LastModifiedDateTime xmlns="c0164e30-f6e2-4fcb-a5e1-373c3bc191c6" xsi:nil="true"/>
    <LegacyData xmlns="c0164e30-f6e2-4fcb-a5e1-373c3bc191c6" xsi:nil="true"/>
    <LocManualTestRequired xmlns="c0164e30-f6e2-4fcb-a5e1-373c3bc191c6">false</LocManualTestRequired>
    <LocMarketGroupTiers2 xmlns="c0164e30-f6e2-4fcb-a5e1-373c3bc191c6" xsi:nil="true"/>
    <ClipArtFilename xmlns="c0164e30-f6e2-4fcb-a5e1-373c3bc191c6" xsi:nil="true"/>
    <TPApplication xmlns="c0164e30-f6e2-4fcb-a5e1-373c3bc191c6" xsi:nil="true"/>
    <CSXHash xmlns="c0164e30-f6e2-4fcb-a5e1-373c3bc191c6" xsi:nil="true"/>
    <DirectSourceMarket xmlns="c0164e30-f6e2-4fcb-a5e1-373c3bc191c6">english</DirectSourceMarket>
    <PrimaryImageGen xmlns="c0164e30-f6e2-4fcb-a5e1-373c3bc191c6">false</PrimaryImageGen>
    <PlannedPubDate xmlns="c0164e30-f6e2-4fcb-a5e1-373c3bc191c6" xsi:nil="true"/>
    <CSXSubmissionMarket xmlns="c0164e30-f6e2-4fcb-a5e1-373c3bc191c6" xsi:nil="true"/>
    <Downloads xmlns="c0164e30-f6e2-4fcb-a5e1-373c3bc191c6">0</Downloads>
    <ArtSampleDocs xmlns="c0164e30-f6e2-4fcb-a5e1-373c3bc191c6" xsi:nil="true"/>
    <TrustLevel xmlns="c0164e30-f6e2-4fcb-a5e1-373c3bc191c6">1 Microsoft Managed Content</TrustLevel>
    <BlockPublish xmlns="c0164e30-f6e2-4fcb-a5e1-373c3bc191c6">false</BlockPublish>
    <TPLaunchHelpLinkType xmlns="c0164e30-f6e2-4fcb-a5e1-373c3bc191c6">Template</TPLaunchHelpLinkType>
    <LocalizationTagsTaxHTField0 xmlns="c0164e30-f6e2-4fcb-a5e1-373c3bc191c6">
      <Terms xmlns="http://schemas.microsoft.com/office/infopath/2007/PartnerControls"/>
    </LocalizationTagsTaxHTField0>
    <BusinessGroup xmlns="c0164e30-f6e2-4fcb-a5e1-373c3bc191c6" xsi:nil="true"/>
    <Providers xmlns="c0164e30-f6e2-4fcb-a5e1-373c3bc191c6" xsi:nil="true"/>
    <TemplateTemplateType xmlns="c0164e30-f6e2-4fcb-a5e1-373c3bc191c6">Excel 2007 Default</TemplateTemplateType>
    <TimesCloned xmlns="c0164e30-f6e2-4fcb-a5e1-373c3bc191c6" xsi:nil="true"/>
    <TPAppVersion xmlns="c0164e30-f6e2-4fcb-a5e1-373c3bc191c6" xsi:nil="true"/>
    <VoteCount xmlns="c0164e30-f6e2-4fcb-a5e1-373c3bc191c6" xsi:nil="true"/>
    <FeatureTagsTaxHTField0 xmlns="c0164e30-f6e2-4fcb-a5e1-373c3bc191c6">
      <Terms xmlns="http://schemas.microsoft.com/office/infopath/2007/PartnerControls"/>
    </FeatureTagsTaxHTField0>
    <Provider xmlns="c0164e30-f6e2-4fcb-a5e1-373c3bc191c6" xsi:nil="true"/>
    <UACurrentWords xmlns="c0164e30-f6e2-4fcb-a5e1-373c3bc191c6" xsi:nil="true"/>
    <AssetId xmlns="c0164e30-f6e2-4fcb-a5e1-373c3bc191c6">TP103107644</AssetId>
    <TPClientViewer xmlns="c0164e30-f6e2-4fcb-a5e1-373c3bc191c6" xsi:nil="true"/>
    <DSATActionTaken xmlns="c0164e30-f6e2-4fcb-a5e1-373c3bc191c6" xsi:nil="true"/>
    <APEditor xmlns="c0164e30-f6e2-4fcb-a5e1-373c3bc191c6">
      <UserInfo>
        <DisplayName/>
        <AccountId xsi:nil="true"/>
        <AccountType/>
      </UserInfo>
    </APEditor>
    <TPInstallLocation xmlns="c0164e30-f6e2-4fcb-a5e1-373c3bc191c6" xsi:nil="true"/>
    <OOCacheId xmlns="c0164e30-f6e2-4fcb-a5e1-373c3bc191c6" xsi:nil="true"/>
    <IsDeleted xmlns="c0164e30-f6e2-4fcb-a5e1-373c3bc191c6">false</IsDeleted>
    <PublishTargets xmlns="c0164e30-f6e2-4fcb-a5e1-373c3bc191c6">OfficeOnlineVNext</PublishTargets>
    <ApprovalLog xmlns="c0164e30-f6e2-4fcb-a5e1-373c3bc191c6" xsi:nil="true"/>
    <BugNumber xmlns="c0164e30-f6e2-4fcb-a5e1-373c3bc191c6" xsi:nil="true"/>
    <CrawlForDependencies xmlns="c0164e30-f6e2-4fcb-a5e1-373c3bc191c6">false</CrawlForDependencies>
    <InternalTagsTaxHTField0 xmlns="c0164e30-f6e2-4fcb-a5e1-373c3bc191c6">
      <Terms xmlns="http://schemas.microsoft.com/office/infopath/2007/PartnerControls"/>
    </InternalTagsTaxHTField0>
    <LastHandOff xmlns="c0164e30-f6e2-4fcb-a5e1-373c3bc191c6" xsi:nil="true"/>
    <Milestone xmlns="c0164e30-f6e2-4fcb-a5e1-373c3bc191c6" xsi:nil="true"/>
    <OriginalRelease xmlns="c0164e30-f6e2-4fcb-a5e1-373c3bc191c6">15</OriginalRelease>
    <RecommendationsModifier xmlns="c0164e30-f6e2-4fcb-a5e1-373c3bc191c6" xsi:nil="true"/>
    <ScenarioTagsTaxHTField0 xmlns="c0164e30-f6e2-4fcb-a5e1-373c3bc191c6">
      <Terms xmlns="http://schemas.microsoft.com/office/infopath/2007/PartnerControls"/>
    </ScenarioTagsTaxHTField0>
    <UANotes xmlns="c0164e30-f6e2-4fcb-a5e1-373c3bc191c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TemplateFile" ma:contentTypeID="0x010100D0CEEBE0F37842489D6D993FE8FD8A0604009474E9FCFE7DB94596F9220168507702" ma:contentTypeVersion="56" ma:contentTypeDescription="Create a new document." ma:contentTypeScope="" ma:versionID="0c5f6e950f74e8da822328d5552083a0">
  <xsd:schema xmlns:xsd="http://www.w3.org/2001/XMLSchema" xmlns:xs="http://www.w3.org/2001/XMLSchema" xmlns:p="http://schemas.microsoft.com/office/2006/metadata/properties" xmlns:ns2="c0164e30-f6e2-4fcb-a5e1-373c3bc191c6" targetNamespace="http://schemas.microsoft.com/office/2006/metadata/properties" ma:root="true" ma:fieldsID="f53ec9386c10af17528d9cdb678f9f90" ns2:_="">
    <xsd:import namespace="c0164e30-f6e2-4fcb-a5e1-373c3bc191c6"/>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164e30-f6e2-4fcb-a5e1-373c3bc191c6"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3bb7ccf3-6c22-489f-873a-b77aa244ba62}"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95283750-1901-4DB4-A125-8ACBF66C0279}" ma:internalName="CSXSubmissionMarket" ma:readOnly="false" ma:showField="MarketName" ma:web="c0164e30-f6e2-4fcb-a5e1-373c3bc191c6">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25ebe6e9-1361-43dd-b4ff-d2862b9e8983}"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AF856932-3D43-4527-996A-E8B3B7B1C37C}" ma:internalName="InProjectListLookup" ma:readOnly="true" ma:showField="InProjectList"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8a85794d-7d47-4106-8b88-9e96b447aed3}"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AF856932-3D43-4527-996A-E8B3B7B1C37C}" ma:internalName="LastCompleteVersionLookup" ma:readOnly="true" ma:showField="LastCompleteVersion"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AF856932-3D43-4527-996A-E8B3B7B1C37C}" ma:internalName="LastPreviewErrorLookup" ma:readOnly="true" ma:showField="LastPreviewError"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AF856932-3D43-4527-996A-E8B3B7B1C37C}" ma:internalName="LastPreviewResultLookup" ma:readOnly="true" ma:showField="LastPreviewResult"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AF856932-3D43-4527-996A-E8B3B7B1C37C}" ma:internalName="LastPreviewAttemptDateLookup" ma:readOnly="true" ma:showField="LastPreviewAttemptDate"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AF856932-3D43-4527-996A-E8B3B7B1C37C}" ma:internalName="LastPreviewedByLookup" ma:readOnly="true" ma:showField="LastPreviewedBy"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AF856932-3D43-4527-996A-E8B3B7B1C37C}" ma:internalName="LastPreviewTimeLookup" ma:readOnly="true" ma:showField="LastPreviewTime"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AF856932-3D43-4527-996A-E8B3B7B1C37C}" ma:internalName="LastPreviewVersionLookup" ma:readOnly="true" ma:showField="LastPreviewVersion"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AF856932-3D43-4527-996A-E8B3B7B1C37C}" ma:internalName="LastPublishErrorLookup" ma:readOnly="true" ma:showField="LastPublishError"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AF856932-3D43-4527-996A-E8B3B7B1C37C}" ma:internalName="LastPublishResultLookup" ma:readOnly="true" ma:showField="LastPublishResult"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AF856932-3D43-4527-996A-E8B3B7B1C37C}" ma:internalName="LastPublishAttemptDateLookup" ma:readOnly="true" ma:showField="LastPublishAttemptDate"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AF856932-3D43-4527-996A-E8B3B7B1C37C}" ma:internalName="LastPublishedByLookup" ma:readOnly="true" ma:showField="LastPublishedBy"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AF856932-3D43-4527-996A-E8B3B7B1C37C}" ma:internalName="LastPublishTimeLookup" ma:readOnly="true" ma:showField="LastPublishTime"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AF856932-3D43-4527-996A-E8B3B7B1C37C}" ma:internalName="LastPublishVersionLookup" ma:readOnly="true" ma:showField="LastPublishVersion"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8EFD8EBB-05C5-42ED-949E-5798BCB984B6}" ma:internalName="LocLastLocAttemptVersionLookup" ma:readOnly="false" ma:showField="LastLocAttemptVersion" ma:web="c0164e30-f6e2-4fcb-a5e1-373c3bc191c6">
      <xsd:simpleType>
        <xsd:restriction base="dms:Lookup"/>
      </xsd:simpleType>
    </xsd:element>
    <xsd:element name="LocLastLocAttemptVersionTypeLookup" ma:index="71" nillable="true" ma:displayName="Loc Last Loc Attempt Version Type" ma:default="" ma:list="{8EFD8EBB-05C5-42ED-949E-5798BCB984B6}" ma:internalName="LocLastLocAttemptVersionTypeLookup" ma:readOnly="true" ma:showField="LastLocAttemptVersionType" ma:web="c0164e30-f6e2-4fcb-a5e1-373c3bc191c6">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8EFD8EBB-05C5-42ED-949E-5798BCB984B6}" ma:internalName="LocNewPublishedVersionLookup" ma:readOnly="true" ma:showField="NewPublishedVersion" ma:web="c0164e30-f6e2-4fcb-a5e1-373c3bc191c6">
      <xsd:simpleType>
        <xsd:restriction base="dms:Lookup"/>
      </xsd:simpleType>
    </xsd:element>
    <xsd:element name="LocOverallHandbackStatusLookup" ma:index="75" nillable="true" ma:displayName="Loc Overall Handback Status" ma:default="" ma:list="{8EFD8EBB-05C5-42ED-949E-5798BCB984B6}" ma:internalName="LocOverallHandbackStatusLookup" ma:readOnly="true" ma:showField="OverallHandbackStatus" ma:web="c0164e30-f6e2-4fcb-a5e1-373c3bc191c6">
      <xsd:simpleType>
        <xsd:restriction base="dms:Lookup"/>
      </xsd:simpleType>
    </xsd:element>
    <xsd:element name="LocOverallLocStatusLookup" ma:index="76" nillable="true" ma:displayName="Loc Overall Localize Status" ma:default="" ma:list="{8EFD8EBB-05C5-42ED-949E-5798BCB984B6}" ma:internalName="LocOverallLocStatusLookup" ma:readOnly="true" ma:showField="OverallLocStatus" ma:web="c0164e30-f6e2-4fcb-a5e1-373c3bc191c6">
      <xsd:simpleType>
        <xsd:restriction base="dms:Lookup"/>
      </xsd:simpleType>
    </xsd:element>
    <xsd:element name="LocOverallPreviewStatusLookup" ma:index="77" nillable="true" ma:displayName="Loc Overall Preview Status" ma:default="" ma:list="{8EFD8EBB-05C5-42ED-949E-5798BCB984B6}" ma:internalName="LocOverallPreviewStatusLookup" ma:readOnly="true" ma:showField="OverallPreviewStatus" ma:web="c0164e30-f6e2-4fcb-a5e1-373c3bc191c6">
      <xsd:simpleType>
        <xsd:restriction base="dms:Lookup"/>
      </xsd:simpleType>
    </xsd:element>
    <xsd:element name="LocOverallPublishStatusLookup" ma:index="78" nillable="true" ma:displayName="Loc Overall Publish Status" ma:default="" ma:list="{8EFD8EBB-05C5-42ED-949E-5798BCB984B6}" ma:internalName="LocOverallPublishStatusLookup" ma:readOnly="true" ma:showField="OverallPublishStatus" ma:web="c0164e30-f6e2-4fcb-a5e1-373c3bc191c6">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8EFD8EBB-05C5-42ED-949E-5798BCB984B6}" ma:internalName="LocProcessedForHandoffsLookup" ma:readOnly="true" ma:showField="ProcessedForHandoffs" ma:web="c0164e30-f6e2-4fcb-a5e1-373c3bc191c6">
      <xsd:simpleType>
        <xsd:restriction base="dms:Lookup"/>
      </xsd:simpleType>
    </xsd:element>
    <xsd:element name="LocProcessedForMarketsLookup" ma:index="81" nillable="true" ma:displayName="Loc Processed For Markets" ma:default="" ma:list="{8EFD8EBB-05C5-42ED-949E-5798BCB984B6}" ma:internalName="LocProcessedForMarketsLookup" ma:readOnly="true" ma:showField="ProcessedForMarkets" ma:web="c0164e30-f6e2-4fcb-a5e1-373c3bc191c6">
      <xsd:simpleType>
        <xsd:restriction base="dms:Lookup"/>
      </xsd:simpleType>
    </xsd:element>
    <xsd:element name="LocPublishedDependentAssetsLookup" ma:index="82" nillable="true" ma:displayName="Loc Published Dependent Assets" ma:default="" ma:list="{8EFD8EBB-05C5-42ED-949E-5798BCB984B6}" ma:internalName="LocPublishedDependentAssetsLookup" ma:readOnly="true" ma:showField="PublishedDependentAssets" ma:web="c0164e30-f6e2-4fcb-a5e1-373c3bc191c6">
      <xsd:simpleType>
        <xsd:restriction base="dms:Lookup"/>
      </xsd:simpleType>
    </xsd:element>
    <xsd:element name="LocPublishedLinkedAssetsLookup" ma:index="83" nillable="true" ma:displayName="Loc Published Linked Assets" ma:default="" ma:list="{8EFD8EBB-05C5-42ED-949E-5798BCB984B6}" ma:internalName="LocPublishedLinkedAssetsLookup" ma:readOnly="true" ma:showField="PublishedLinkedAssets" ma:web="c0164e30-f6e2-4fcb-a5e1-373c3bc191c6">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fd2b6ab4-0093-4a89-9931-766d682ba0ad}"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95283750-1901-4DB4-A125-8ACBF66C0279}" ma:internalName="Markets" ma:readOnly="false" ma:showField="MarketName"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AF856932-3D43-4527-996A-E8B3B7B1C37C}" ma:internalName="NumOfRatingsLookup" ma:readOnly="true" ma:showField="NumOfRatings"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AF856932-3D43-4527-996A-E8B3B7B1C37C}" ma:internalName="PublishStatusLookup" ma:readOnly="false" ma:showField="PublishStatus"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f84cfbcb-8143-476f-b5d8-022224182b94}"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660dc607-bbf8-476f-b86a-c9f21b85bb3e}" ma:internalName="TaxCatchAll" ma:showField="CatchAllData"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660dc607-bbf8-476f-b86a-c9f21b85bb3e}" ma:internalName="TaxCatchAllLabel" ma:readOnly="true" ma:showField="CatchAllDataLabel" ma:web="c0164e30-f6e2-4fcb-a5e1-373c3bc191c6">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F672FF-3A92-44D4-89BB-5E110C3822EA}">
  <ds:schemaRefs>
    <ds:schemaRef ds:uri="http://schemas.microsoft.com/sharepoint/v3/contenttype/forms"/>
  </ds:schemaRefs>
</ds:datastoreItem>
</file>

<file path=customXml/itemProps2.xml><?xml version="1.0" encoding="utf-8"?>
<ds:datastoreItem xmlns:ds="http://schemas.openxmlformats.org/officeDocument/2006/customXml" ds:itemID="{C8FA622F-CE11-425C-8C35-239FCE193AA1}">
  <ds:schemaRefs>
    <ds:schemaRef ds:uri="http://schemas.microsoft.com/office/2006/metadata/properties"/>
    <ds:schemaRef ds:uri="http://schemas.microsoft.com/office/infopath/2007/PartnerControls"/>
    <ds:schemaRef ds:uri="c0164e30-f6e2-4fcb-a5e1-373c3bc191c6"/>
  </ds:schemaRefs>
</ds:datastoreItem>
</file>

<file path=customXml/itemProps3.xml><?xml version="1.0" encoding="utf-8"?>
<ds:datastoreItem xmlns:ds="http://schemas.openxmlformats.org/officeDocument/2006/customXml" ds:itemID="{D32923CD-9138-46BE-B316-9B72F36475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164e30-f6e2-4fcb-a5e1-373c3bc191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ปฏิทินครอบครัวตามฤดูกาล</vt:lpstr>
      <vt:lpstr>ปฏิทินครอบครัวตามฤดูกาล!Print_Area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cp:lastPrinted>2022-01-04T10:16:46Z</cp:lastPrinted>
  <dcterms:created xsi:type="dcterms:W3CDTF">2010-11-26T17:40:45Z</dcterms:created>
  <dcterms:modified xsi:type="dcterms:W3CDTF">2022-01-04T10:23:41Z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0x010100D0CEEBE0F37842489D6D993FE8FD8A0604009474E9FCFE7DB94596F9220168507702</vt:lpwstr>
  </property>
  <property fmtid="{D5CDD505-2E9C-101B-9397-08002B2CF9AE}" pid="3" name="InternalTags">
    <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HiddenCategoryTags">
    <vt:lpwstr/>
  </property>
  <property fmtid="{D5CDD505-2E9C-101B-9397-08002B2CF9AE}" pid="9" name="CategoryTags">
    <vt:lpwstr/>
  </property>
  <property fmtid="{D5CDD505-2E9C-101B-9397-08002B2CF9AE}" pid="10" name="LocMarketGroupTiers">
    <vt:lpwstr/>
  </property>
  <property fmtid="{D5CDD505-2E9C-101B-9397-08002B2CF9AE}" pid="11" name="CategoryTagsTaxHTField0">
    <vt:lpwstr/>
  </property>
  <property fmtid="{D5CDD505-2E9C-101B-9397-08002B2CF9AE}" pid="12" name="HiddenCategoryTagsTaxHTField0">
    <vt:lpwstr/>
  </property>
</Properties>
</file>